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45" windowWidth="14805" windowHeight="1170" tabRatio="574"/>
  </bookViews>
  <sheets>
    <sheet name="Приложение 1" sheetId="1" r:id="rId1"/>
    <sheet name="Лист1" sheetId="20" r:id="rId2"/>
    <sheet name="бензин" sheetId="7" r:id="rId3"/>
    <sheet name="МВСП" sheetId="8" r:id="rId4"/>
    <sheet name="Инструменты" sheetId="9" r:id="rId5"/>
    <sheet name="спецодежда" sheetId="16" r:id="rId6"/>
    <sheet name="Канцтовары" sheetId="10" r:id="rId7"/>
    <sheet name="работы" sheetId="18" r:id="rId8"/>
    <sheet name="консалт" sheetId="11" r:id="rId9"/>
    <sheet name="аренда" sheetId="12" r:id="rId10"/>
    <sheet name="связь" sheetId="13" r:id="rId11"/>
    <sheet name="страховка" sheetId="14" r:id="rId12"/>
    <sheet name="Лист4" sheetId="19" r:id="rId13"/>
    <sheet name="обучение" sheetId="15" r:id="rId14"/>
  </sheets>
  <definedNames>
    <definedName name="_xlnm._FilterDatabase" localSheetId="0" hidden="1">'Приложение 1'!$A$13:$Y$17</definedName>
    <definedName name="_xlnm.Print_Titles" localSheetId="0">'Приложение 1'!$13:$14</definedName>
  </definedNames>
  <calcPr calcId="152511"/>
</workbook>
</file>

<file path=xl/calcChain.xml><?xml version="1.0" encoding="utf-8"?>
<calcChain xmlns="http://schemas.openxmlformats.org/spreadsheetml/2006/main">
  <c r="T113" i="1" l="1"/>
  <c r="T114" i="1" l="1"/>
  <c r="T124" i="1" l="1"/>
  <c r="T129" i="1" l="1"/>
  <c r="T109" i="1" l="1"/>
  <c r="T122" i="1" l="1"/>
  <c r="U124" i="1"/>
  <c r="T100" i="1" l="1"/>
  <c r="U100" i="1" s="1"/>
  <c r="S103" i="1"/>
  <c r="U126" i="1" l="1"/>
  <c r="S99" i="1" l="1"/>
  <c r="S97" i="1"/>
  <c r="S96" i="1"/>
  <c r="S94" i="1"/>
  <c r="S93" i="1"/>
  <c r="S91" i="1"/>
  <c r="S90" i="1"/>
  <c r="S89" i="1"/>
  <c r="S82" i="1"/>
  <c r="S88" i="1"/>
  <c r="S87" i="1"/>
  <c r="S86" i="1"/>
  <c r="S85" i="1"/>
  <c r="S83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4" i="1"/>
  <c r="S65" i="1"/>
  <c r="S63" i="1"/>
  <c r="S61" i="1"/>
  <c r="S16" i="1"/>
  <c r="T16" i="1" s="1"/>
  <c r="D17" i="20" l="1"/>
  <c r="D37" i="20" l="1"/>
  <c r="D14" i="20"/>
  <c r="D11" i="20"/>
  <c r="M21" i="12"/>
  <c r="U115" i="1"/>
  <c r="D38" i="20" l="1"/>
  <c r="I18" i="13"/>
  <c r="J45" i="14"/>
  <c r="J44" i="14"/>
  <c r="I43" i="14"/>
  <c r="J43" i="14" s="1"/>
  <c r="J42" i="14"/>
  <c r="J41" i="14"/>
  <c r="J40" i="14"/>
  <c r="J39" i="14"/>
  <c r="J38" i="14"/>
  <c r="J37" i="14"/>
  <c r="J36" i="14"/>
  <c r="J35" i="14"/>
  <c r="J34" i="14"/>
  <c r="J33" i="14"/>
  <c r="J32" i="14"/>
  <c r="J31" i="14"/>
  <c r="I31" i="14"/>
  <c r="I30" i="14"/>
  <c r="J30" i="14" s="1"/>
  <c r="J29" i="14"/>
  <c r="I28" i="14"/>
  <c r="J28" i="14" s="1"/>
  <c r="J27" i="14"/>
  <c r="J26" i="14"/>
  <c r="I26" i="14"/>
  <c r="I25" i="14"/>
  <c r="J25" i="14" s="1"/>
  <c r="J24" i="14"/>
  <c r="J23" i="14"/>
  <c r="J22" i="14"/>
  <c r="J21" i="14"/>
  <c r="J20" i="14"/>
  <c r="J19" i="14"/>
  <c r="I18" i="14"/>
  <c r="J18" i="14" s="1"/>
  <c r="J17" i="14"/>
  <c r="I17" i="14"/>
  <c r="I16" i="14"/>
  <c r="J16" i="14" s="1"/>
  <c r="I23" i="12"/>
  <c r="I22" i="12"/>
  <c r="I17" i="13"/>
  <c r="I16" i="13"/>
  <c r="H20" i="12"/>
  <c r="H19" i="12"/>
  <c r="H23" i="12"/>
  <c r="H22" i="12"/>
  <c r="H17" i="12"/>
  <c r="H21" i="12" s="1"/>
  <c r="H16" i="12"/>
  <c r="I16" i="12" s="1"/>
  <c r="K12" i="11"/>
  <c r="K8" i="11"/>
  <c r="K7" i="11"/>
  <c r="M9" i="18"/>
  <c r="M46" i="10"/>
  <c r="T102" i="1"/>
  <c r="U102" i="1" s="1"/>
  <c r="M18" i="16"/>
  <c r="M17" i="16"/>
  <c r="M16" i="16"/>
  <c r="M15" i="16"/>
  <c r="M14" i="16"/>
  <c r="M13" i="16"/>
  <c r="M12" i="16"/>
  <c r="M11" i="16"/>
  <c r="M10" i="16"/>
  <c r="M9" i="16"/>
  <c r="M8" i="16"/>
  <c r="M50" i="10"/>
  <c r="M49" i="10"/>
  <c r="M51" i="10" s="1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47" i="10" s="1"/>
  <c r="N16" i="9" l="1"/>
  <c r="N58" i="8"/>
  <c r="N57" i="8"/>
  <c r="N56" i="8"/>
  <c r="N55" i="8"/>
  <c r="N54" i="8"/>
  <c r="N53" i="8"/>
  <c r="N52" i="8"/>
  <c r="N51" i="8"/>
  <c r="N50" i="8"/>
  <c r="N49" i="8"/>
  <c r="N59" i="8" s="1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L22" i="8"/>
  <c r="N22" i="8" s="1"/>
  <c r="N21" i="8"/>
  <c r="L20" i="8"/>
  <c r="N20" i="8" s="1"/>
  <c r="N19" i="8"/>
  <c r="N18" i="8"/>
  <c r="N17" i="8"/>
  <c r="N16" i="8"/>
  <c r="N18" i="7"/>
  <c r="M17" i="7"/>
  <c r="N17" i="7" s="1"/>
  <c r="M16" i="7"/>
  <c r="N16" i="7" s="1"/>
  <c r="T123" i="1" l="1"/>
  <c r="U143" i="1" l="1"/>
  <c r="U142" i="1" l="1"/>
  <c r="T141" i="1"/>
  <c r="U141" i="1" l="1"/>
  <c r="U140" i="1"/>
  <c r="U139" i="1"/>
  <c r="U138" i="1"/>
  <c r="U134" i="1"/>
  <c r="U136" i="1"/>
  <c r="U137" i="1"/>
  <c r="U135" i="1"/>
  <c r="T133" i="1"/>
  <c r="U133" i="1" s="1"/>
  <c r="T119" i="1"/>
  <c r="U119" i="1" s="1"/>
  <c r="U132" i="1"/>
  <c r="U131" i="1"/>
  <c r="U130" i="1"/>
  <c r="U129" i="1"/>
  <c r="U128" i="1"/>
  <c r="U127" i="1"/>
  <c r="U125" i="1"/>
  <c r="T118" i="1"/>
  <c r="U118" i="1" s="1"/>
  <c r="U113" i="1"/>
  <c r="T112" i="1"/>
  <c r="U112" i="1" s="1"/>
  <c r="U123" i="1"/>
  <c r="U122" i="1"/>
  <c r="T121" i="1"/>
  <c r="U121" i="1" s="1"/>
  <c r="T120" i="1"/>
  <c r="U120" i="1" s="1"/>
  <c r="U117" i="1"/>
  <c r="T116" i="1"/>
  <c r="U116" i="1" s="1"/>
  <c r="U114" i="1"/>
  <c r="T111" i="1"/>
  <c r="U108" i="1"/>
  <c r="U107" i="1"/>
  <c r="T104" i="1"/>
  <c r="U104" i="1" s="1"/>
  <c r="T103" i="1"/>
  <c r="U103" i="1" s="1"/>
  <c r="T101" i="1"/>
  <c r="U101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U109" i="1" l="1"/>
  <c r="U111" i="1"/>
  <c r="T144" i="1"/>
  <c r="U144" i="1"/>
  <c r="T69" i="1"/>
  <c r="U69" i="1" s="1"/>
  <c r="T68" i="1"/>
  <c r="U68" i="1" s="1"/>
  <c r="T67" i="1" l="1"/>
  <c r="U67" i="1" s="1"/>
  <c r="T66" i="1"/>
  <c r="U66" i="1" s="1"/>
  <c r="T65" i="1"/>
  <c r="U65" i="1" s="1"/>
  <c r="T64" i="1"/>
  <c r="U64" i="1" s="1"/>
  <c r="T63" i="1"/>
  <c r="U63" i="1" s="1"/>
  <c r="T61" i="1"/>
  <c r="U61" i="1" s="1"/>
  <c r="T62" i="1"/>
  <c r="U62" i="1" s="1"/>
  <c r="T60" i="1" l="1"/>
  <c r="U60" i="1" s="1"/>
  <c r="T59" i="1" l="1"/>
  <c r="U59" i="1" s="1"/>
  <c r="T53" i="1"/>
  <c r="U53" i="1" s="1"/>
  <c r="T58" i="1"/>
  <c r="U58" i="1" s="1"/>
  <c r="T57" i="1"/>
  <c r="U57" i="1" s="1"/>
  <c r="T56" i="1"/>
  <c r="U56" i="1" s="1"/>
  <c r="T55" i="1"/>
  <c r="U55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 l="1"/>
  <c r="U45" i="1" s="1"/>
  <c r="T44" i="1"/>
  <c r="U44" i="1" s="1"/>
  <c r="T54" i="1" l="1"/>
  <c r="U54" i="1" s="1"/>
  <c r="T43" i="1"/>
  <c r="U43" i="1" s="1"/>
  <c r="T42" i="1" l="1"/>
  <c r="U42" i="1" s="1"/>
  <c r="T41" i="1"/>
  <c r="U41" i="1" s="1"/>
  <c r="T40" i="1"/>
  <c r="U40" i="1" s="1"/>
  <c r="T39" i="1" l="1"/>
  <c r="U39" i="1" s="1"/>
  <c r="T38" i="1"/>
  <c r="U38" i="1" s="1"/>
  <c r="T37" i="1"/>
  <c r="U37" i="1" s="1"/>
  <c r="T36" i="1"/>
  <c r="U36" i="1" s="1"/>
  <c r="T35" i="1"/>
  <c r="U35" i="1" s="1"/>
  <c r="R23" i="1"/>
  <c r="R21" i="1"/>
  <c r="T34" i="1" l="1"/>
  <c r="U34" i="1" s="1"/>
  <c r="T33" i="1"/>
  <c r="U33" i="1" s="1"/>
  <c r="T32" i="1" l="1"/>
  <c r="U32" i="1" s="1"/>
  <c r="T31" i="1"/>
  <c r="U31" i="1" s="1"/>
  <c r="T30" i="1"/>
  <c r="U30" i="1" s="1"/>
  <c r="T29" i="1"/>
  <c r="U29" i="1" s="1"/>
  <c r="T28" i="1" l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T105" i="1" l="1"/>
  <c r="T145" i="1" s="1"/>
  <c r="U105" i="1" l="1"/>
  <c r="U145" i="1" s="1"/>
  <c r="U16" i="1"/>
  <c r="U17" i="1"/>
</calcChain>
</file>

<file path=xl/sharedStrings.xml><?xml version="1.0" encoding="utf-8"?>
<sst xmlns="http://schemas.openxmlformats.org/spreadsheetml/2006/main" count="3047" uniqueCount="540">
  <si>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</si>
  <si>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</si>
  <si>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</si>
  <si>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</si>
  <si>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</si>
  <si>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</si>
  <si>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</si>
  <si>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</si>
  <si>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</si>
  <si>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</si>
  <si>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</si>
  <si>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</si>
  <si>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</si>
  <si>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</si>
  <si>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</si>
  <si>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</si>
  <si>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</si>
  <si>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</si>
  <si>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</si>
  <si>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</si>
  <si>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</si>
  <si>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</si>
  <si>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</si>
  <si>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</si>
  <si>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</si>
  <si>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</si>
  <si>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1 Т</t>
  </si>
  <si>
    <t>ОИ</t>
  </si>
  <si>
    <t>DDP</t>
  </si>
  <si>
    <t>2 Т</t>
  </si>
  <si>
    <t>ОП</t>
  </si>
  <si>
    <t>3 Т</t>
  </si>
  <si>
    <t>4 Т</t>
  </si>
  <si>
    <t>5 Т</t>
  </si>
  <si>
    <t>по факту</t>
  </si>
  <si>
    <t>6 Т</t>
  </si>
  <si>
    <t>7 Т</t>
  </si>
  <si>
    <t>8 Т</t>
  </si>
  <si>
    <t>9 Т</t>
  </si>
  <si>
    <t>10 Т</t>
  </si>
  <si>
    <t>11 Т</t>
  </si>
  <si>
    <t>12 Т</t>
  </si>
  <si>
    <t xml:space="preserve">2. Работы </t>
  </si>
  <si>
    <t>1 Р</t>
  </si>
  <si>
    <t xml:space="preserve">3. Услуги </t>
  </si>
  <si>
    <t>1 У</t>
  </si>
  <si>
    <t>ОПРУ</t>
  </si>
  <si>
    <t>Итого по товарам:</t>
  </si>
  <si>
    <t>Итого по работам:</t>
  </si>
  <si>
    <t>Литр (куб. дм.)</t>
  </si>
  <si>
    <t>Бензин</t>
  </si>
  <si>
    <t>неэтилированный и этилированный, произведенный для двигателей с искровым зажиганием: АИ-92</t>
  </si>
  <si>
    <t>Болт</t>
  </si>
  <si>
    <t>19.20.21.00.00.00.11.40.1</t>
  </si>
  <si>
    <t>Тонна (метрическая)</t>
  </si>
  <si>
    <t>Шайба</t>
  </si>
  <si>
    <t>24.10.75.00.02.12.10.13.1</t>
  </si>
  <si>
    <t>Рельсовая двухголовая</t>
  </si>
  <si>
    <t>Железнодорожная металлическая костыльного скрепления рельсов</t>
  </si>
  <si>
    <t>Болт для рельсовых стыков железнодорожного пути</t>
  </si>
  <si>
    <t>Накладка</t>
  </si>
  <si>
    <t>Подкладка </t>
  </si>
  <si>
    <t>Штука</t>
  </si>
  <si>
    <t>Костыль</t>
  </si>
  <si>
    <t>Прокладка</t>
  </si>
  <si>
    <t>Г. Муканов</t>
  </si>
  <si>
    <t>План закупок товаров, работ и услуг на 2014 год по АО "Кедентранссервис"</t>
  </si>
  <si>
    <t>Реквизиты   (№ приказа и дата утверждения плана закупок) №_______от 24 октября 2014 года</t>
  </si>
  <si>
    <t>24.10.75.00.02.19.10.11.2</t>
  </si>
  <si>
    <t>Для железной дороги, широкой колеи, размер - 165 мм, масса - 0,378 кг, ГОСТ 5812-82</t>
  </si>
  <si>
    <t>ТОО "Транспортный холдинг Казахстана"</t>
  </si>
  <si>
    <t>г. Астана, ул. Жубанова, 33</t>
  </si>
  <si>
    <t>январь, февраль, март</t>
  </si>
  <si>
    <t>тип Р-65</t>
  </si>
  <si>
    <t>ЭЦП</t>
  </si>
  <si>
    <t>март, апрель, май</t>
  </si>
  <si>
    <t>г. Актобе, 41 разъезд, товарный двор, Западно-Казахстанский региональный ФАО "Кедентранссервис"</t>
  </si>
  <si>
    <t>с даты подписания договора до 31 декабря 2015 года</t>
  </si>
  <si>
    <t xml:space="preserve">с даты подписания договора в течение 30 рабочих дней </t>
  </si>
  <si>
    <t>тип Р-50</t>
  </si>
  <si>
    <t>24.10.75.00.02.14.12.11.1</t>
  </si>
  <si>
    <t>тип Р-65, с гайкой</t>
  </si>
  <si>
    <t>тип Р-50, с гайкой</t>
  </si>
  <si>
    <t>Одновитковая, пружинная, путевая, класс точности С, ГОСТ 19115-91</t>
  </si>
  <si>
    <t>24.10.75.00.02.20.10.11.2</t>
  </si>
  <si>
    <t>типа Р-65, М27</t>
  </si>
  <si>
    <t>типа Р-50, М24</t>
  </si>
  <si>
    <t>типа Д-65</t>
  </si>
  <si>
    <t>типа Д-50</t>
  </si>
  <si>
    <t>подрельсовая резиновая</t>
  </si>
  <si>
    <t>22.19.73.00.00.00.15.10.1</t>
  </si>
  <si>
    <t>Противоугон</t>
  </si>
  <si>
    <t>пружинный</t>
  </si>
  <si>
    <t>24.10.75.00.02.30.10.10.1</t>
  </si>
  <si>
    <t>Р-50</t>
  </si>
  <si>
    <t>Р-65</t>
  </si>
  <si>
    <t>Шпала деревянная</t>
  </si>
  <si>
    <t>железнодорожная или трамвайная, непропитанная из хвойных пород  по типу 2, ГОСТ 78-89, ГОСТ 78-2004</t>
  </si>
  <si>
    <t>16.10.10.00.00.00.02.25.2</t>
  </si>
  <si>
    <t>Клеммный, для прикрепления рельса к подкладке в раздельных рельсовых скреплениях, нормальной точности (класс точности В), ГОС 16016-79</t>
  </si>
  <si>
    <t>24.10.75.00.02.14.11.11.2</t>
  </si>
  <si>
    <t>Двухвитковая, пружинная, класс точности С</t>
  </si>
  <si>
    <t>24.10.75.00.02.20.11.11.2</t>
  </si>
  <si>
    <t>Закладной, для рельсовых скреплений железнодорожного пути, ГОСТ 16017-79</t>
  </si>
  <si>
    <t>24.10.75.00.02.14.10.11.1</t>
  </si>
  <si>
    <t>Килограмм</t>
  </si>
  <si>
    <t>М25</t>
  </si>
  <si>
    <t>13 Т</t>
  </si>
  <si>
    <t>14 Т</t>
  </si>
  <si>
    <t>15 Т</t>
  </si>
  <si>
    <t>16 Т</t>
  </si>
  <si>
    <t>17 Т</t>
  </si>
  <si>
    <t>18 Т</t>
  </si>
  <si>
    <t>Шуруп</t>
  </si>
  <si>
    <t>Путевой, класс точности С</t>
  </si>
  <si>
    <t>24.10.75.00.02.16.10.12.1</t>
  </si>
  <si>
    <t>24.10.75.00.02.14.12.11.2</t>
  </si>
  <si>
    <t>Комплект</t>
  </si>
  <si>
    <t>Переводной деревянный брус</t>
  </si>
  <si>
    <t>ГОСТ 8816-2003 по типу II, пропитанные маслянным антисептиком ГОСТ 20022.5-93, обрезанные из древесины хвойных пород и лиственницы.</t>
  </si>
  <si>
    <t>16.10.10.00.00.00.02.45.2</t>
  </si>
  <si>
    <t>Крестовина</t>
  </si>
  <si>
    <t>Р-50 1/6. Крестовина на мостике, с литым сердечником и рельсовыми усовиками</t>
  </si>
  <si>
    <t>тип Р-50 1/9</t>
  </si>
  <si>
    <t>тип Р-50 1/6 симметр</t>
  </si>
  <si>
    <t>24.10.75.00.02.10.11.12.1</t>
  </si>
  <si>
    <t>Ремкомплект</t>
  </si>
  <si>
    <t>Р-50 1/6</t>
  </si>
  <si>
    <t>24.10.75.00.02.11.11.12.1</t>
  </si>
  <si>
    <t>Электрод</t>
  </si>
  <si>
    <t>Изделие используемое для сварки с покрытием</t>
  </si>
  <si>
    <t>25.93.15.00.00.13.10.10.4</t>
  </si>
  <si>
    <t>19 Т</t>
  </si>
  <si>
    <t>20 Т</t>
  </si>
  <si>
    <t>21 Т</t>
  </si>
  <si>
    <t>22 Т</t>
  </si>
  <si>
    <t>23 Т</t>
  </si>
  <si>
    <t>Щебень</t>
  </si>
  <si>
    <t>для балластного слоя железнодорожного пути, ГОСТ 7392-2002, из смеси фракций от 25 до 40 мм</t>
  </si>
  <si>
    <t>08.12.12.00.00.00.12.10.1</t>
  </si>
  <si>
    <t>Метр кубический</t>
  </si>
  <si>
    <t>24 Т</t>
  </si>
  <si>
    <t>г. Караганда, ул. Складская 13, ФАО "Кедентранссервис" по Карагандиской области</t>
  </si>
  <si>
    <t>Р-43</t>
  </si>
  <si>
    <t>типа Д-43</t>
  </si>
  <si>
    <t>25 Т</t>
  </si>
  <si>
    <t>26 Т</t>
  </si>
  <si>
    <t>27 Т</t>
  </si>
  <si>
    <t>28 Т</t>
  </si>
  <si>
    <t>г. Семей, п. Восточные, 6 дачи, грузовой район  ФАО "Кедентранссервис" по Восточно- Казахстанской области</t>
  </si>
  <si>
    <t>с гайкой</t>
  </si>
  <si>
    <t>Р-50 1/9. Крестовина на подкладках, с литым сердечником и рельсовыми усовиками</t>
  </si>
  <si>
    <t>24.10.75.00.02.10.11.11.1</t>
  </si>
  <si>
    <t>Р-50 1/9</t>
  </si>
  <si>
    <t>24.10.75.00.02.11.11.13.1</t>
  </si>
  <si>
    <t>П-43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</si>
  <si>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</si>
  <si>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</si>
  <si>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</si>
  <si>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</si>
  <si>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</si>
  <si>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</si>
  <si>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</si>
  <si>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</si>
  <si>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</si>
  <si>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</si>
  <si>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</si>
  <si>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</si>
  <si>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</si>
  <si>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</si>
  <si>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</si>
  <si>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</si>
  <si>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</si>
  <si>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</si>
  <si>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Шаблон</t>
  </si>
  <si>
    <t>путевой, для измерений параметров железнодорожного пути</t>
  </si>
  <si>
    <t>26.51.66.26.00.10.20.20.1</t>
  </si>
  <si>
    <t>г. Лисаковск, ст. Майлина, ФАО "Кедентранссервис" по Костанайской области</t>
  </si>
  <si>
    <t>апрель, май, июнь</t>
  </si>
  <si>
    <t>Жилет</t>
  </si>
  <si>
    <t>сигнальная одежда, выполнена с применением фоновых тканей красного, желтого или оранжевого цвета. Из световозвращающего материала.</t>
  </si>
  <si>
    <t>14.12.30.00.00.20.10.11.1</t>
  </si>
  <si>
    <t>г. Лисаковск,  ст. Майлина, г. Кокшетау, г. Караганда, г. Семей, г. Актау, г. Актобе, г. Уральск, г. Талдыкоган, г.Кызылорда</t>
  </si>
  <si>
    <t>Плащ</t>
  </si>
  <si>
    <t>брезентовый постовой</t>
  </si>
  <si>
    <t>14.12.30.00.00.11.02.16.1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</si>
  <si>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</si>
  <si>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</si>
  <si>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14.12.11.00.00.70.10.20.1</t>
  </si>
  <si>
    <t>Каска</t>
  </si>
  <si>
    <t>Материал изготовления - пластмасса</t>
  </si>
  <si>
    <t>32.99.11.00.00.00.10.10.1</t>
  </si>
  <si>
    <t>Рукавицы специальные</t>
  </si>
  <si>
    <t>Рукавицы комбинированные (основа - прочная хлопчатобумажная  ткань, наладонник - брезент)</t>
  </si>
  <si>
    <t>Пара</t>
  </si>
  <si>
    <t>меховые, крытые тканью, ГОСТ 28503-90</t>
  </si>
  <si>
    <t>14.12.30.00.00.80.15.16.1</t>
  </si>
  <si>
    <t>Куртка и брюки</t>
  </si>
  <si>
    <t>Куртка утепленная с центральной бортовой застежкой на шесть пуговиц, верхняя петля – сквозная. Брюки утепленные, на передних половинках боковые карманы. Комплект рабочий, защитного цвета.</t>
  </si>
  <si>
    <t>14.12.30.00.00.11.05.11.1</t>
  </si>
  <si>
    <t>Ботинки мужские</t>
  </si>
  <si>
    <t>из юфтевой кожи, на подошве из резины, кожи или полимерных материалов,  ГОСТ 26167-2005, утепленные</t>
  </si>
  <si>
    <t>15.20.13.00.00.00.10.15.1</t>
  </si>
  <si>
    <t>их кирзового или комбинированного верха, с металлическим защитным подноском, на подошве из резины, кожи или полимерных материалов</t>
  </si>
  <si>
    <t>15.20.31.00.00.00.14.22.1</t>
  </si>
  <si>
    <t>Шапка-ушанка</t>
  </si>
  <si>
    <t>зимняя, с искусственным мехом</t>
  </si>
  <si>
    <t>14.12.30.00.00.10.20.10.1</t>
  </si>
  <si>
    <t>Стикеры</t>
  </si>
  <si>
    <t>с липким краем, для заметок</t>
  </si>
  <si>
    <t>17.23.12.30.00.00.00.70.1</t>
  </si>
  <si>
    <t>44х12, 5цветх25</t>
  </si>
  <si>
    <t>Одна пачка</t>
  </si>
  <si>
    <t>Бумага</t>
  </si>
  <si>
    <t>формат А4, плотность 80г/м2, 21х29,7 см</t>
  </si>
  <si>
    <t>17.12.13.40.10.00.00.05.1</t>
  </si>
  <si>
    <t>июль, август, сентябрь</t>
  </si>
  <si>
    <t>г. Лисаковск,  ст. Майлина, г. Кокшетау, г. Караганда, г. Семей, г.  Актобе, г. Астана</t>
  </si>
  <si>
    <t>Ручка</t>
  </si>
  <si>
    <t>Ручка пластиковая шариковая</t>
  </si>
  <si>
    <t>22.29.25.00.00.00.20.15.1</t>
  </si>
  <si>
    <t>Папка</t>
  </si>
  <si>
    <t>Папка пластиковая-скоросшиватель с прозрачной пластиковой обложкой</t>
  </si>
  <si>
    <t>Степлер</t>
  </si>
  <si>
    <t>устройство для оперативного скрепления листов металлическими скобами</t>
  </si>
  <si>
    <t>22.29.25.00.00.00.18.38.1</t>
  </si>
  <si>
    <t>25.99.23.00.00.11.18.10.1</t>
  </si>
  <si>
    <t>№10</t>
  </si>
  <si>
    <t>Корректирующая ручка</t>
  </si>
  <si>
    <t>32.99.81.00.00.10.10.14.1</t>
  </si>
  <si>
    <t>Нож</t>
  </si>
  <si>
    <t>канцелярский нож предназначенный для разрезания бумаги</t>
  </si>
  <si>
    <t>25.71.11.00.00.10.21.10.1</t>
  </si>
  <si>
    <t>Ластик</t>
  </si>
  <si>
    <t>Приспособление для стирания написанного (мягкий)</t>
  </si>
  <si>
    <t>22.19.73.00.00.00.30.10.1</t>
  </si>
  <si>
    <t>Точилка</t>
  </si>
  <si>
    <t>для карандашей, металическая</t>
  </si>
  <si>
    <t>25.99.23.00.00.11.14.16.1</t>
  </si>
  <si>
    <t>Линейка</t>
  </si>
  <si>
    <t>Измерительная. Пластмассовая. Длина 30 см.</t>
  </si>
  <si>
    <t>26.51.32.00.02.22.11.23.1</t>
  </si>
  <si>
    <t>Карандаш черный</t>
  </si>
  <si>
    <t>карандаш с ластиком</t>
  </si>
  <si>
    <t>32.99.15.00.00.00.11.35.1</t>
  </si>
  <si>
    <t>Скотч</t>
  </si>
  <si>
    <t>широкий, свыше 3 см</t>
  </si>
  <si>
    <t>32.99.80.00.00.00.00.10.1</t>
  </si>
  <si>
    <t>Файл - вкладыш</t>
  </si>
  <si>
    <t>с перфорацией для документов</t>
  </si>
  <si>
    <t>22.29.25.00.00.00.27.05.2</t>
  </si>
  <si>
    <t>ежедневник</t>
  </si>
  <si>
    <t>формат А4, недатированный</t>
  </si>
  <si>
    <t>17.23.12.50.00.00.00.10.1</t>
  </si>
  <si>
    <t>Скоба</t>
  </si>
  <si>
    <t>металлическая, для степлера</t>
  </si>
  <si>
    <t>25.93.14.00.00.12.16.10.1</t>
  </si>
  <si>
    <t>штука (пачка), №10</t>
  </si>
  <si>
    <t>штука (пачка), №24/6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</si>
  <si>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</si>
  <si>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</si>
  <si>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25.99.23.00.00.11.13.10.1</t>
  </si>
  <si>
    <t>Клей-карандаш</t>
  </si>
  <si>
    <t>Клей-карандаш 15 грамм</t>
  </si>
  <si>
    <t>22.29.25.00.00.00.23.13.1</t>
  </si>
  <si>
    <t>Стикер</t>
  </si>
  <si>
    <t>липкий,  бумажный стикер</t>
  </si>
  <si>
    <t>17.23.12.30.00.00.00.71.2</t>
  </si>
  <si>
    <t>Папка пластиковая с прижимом или скоросшивателем</t>
  </si>
  <si>
    <t>Папка пластиковая-регистратор, А4, 80 мм</t>
  </si>
  <si>
    <t>22.29.25.00.00.00.18.12.1</t>
  </si>
  <si>
    <t>блокнот для записей</t>
  </si>
  <si>
    <t>Формат А4</t>
  </si>
  <si>
    <t>17.23.12.40.00.00.00.10.1</t>
  </si>
  <si>
    <t>Журнал</t>
  </si>
  <si>
    <t>Журнал кассовая книга формата КО-4 альбомный, 100 листов</t>
  </si>
  <si>
    <t>17.23.13.25.00.00.00.27.1</t>
  </si>
  <si>
    <t>Книга регистрации</t>
  </si>
  <si>
    <t>Книга регистрации налоговых счетов - фактур, согласно приложения к приказу МГД РК от 14.07.2000 г. № 712 формата А4 альбомный, 100 листов</t>
  </si>
  <si>
    <t>17.23.13.35.00.00.00.38.1</t>
  </si>
  <si>
    <t>Штемпельная краска</t>
  </si>
  <si>
    <t>Штемпельная краска  для печатей и штемпелей</t>
  </si>
  <si>
    <t>32.99.16.00.00.00.12.80.1</t>
  </si>
  <si>
    <t>Журнал учета</t>
  </si>
  <si>
    <t>17.23.13.15.00.00.00.00.1</t>
  </si>
  <si>
    <t>Калькулятор</t>
  </si>
  <si>
    <t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</t>
  </si>
  <si>
    <t>26.51.32.12.12.13.11.30.1</t>
  </si>
  <si>
    <t>Календарь</t>
  </si>
  <si>
    <t>настольный</t>
  </si>
  <si>
    <t>17.23.12.80.00.00.00.20.1</t>
  </si>
  <si>
    <t>Папка -регистратор, А3, 50 мм</t>
  </si>
  <si>
    <t>22.29.25.00.00.00.18.48.1</t>
  </si>
  <si>
    <t>Коврик для мышки</t>
  </si>
  <si>
    <t>22.19.72.00.00.00.50.10.1</t>
  </si>
  <si>
    <t>Картридж</t>
  </si>
  <si>
    <t>Тонерный. Черный.</t>
  </si>
  <si>
    <t>26.20.16.11.13.11.11.10.1</t>
  </si>
  <si>
    <t>февраль, март, апрель</t>
  </si>
  <si>
    <t>Программное обеспечение</t>
  </si>
  <si>
    <t>антивирусное</t>
  </si>
  <si>
    <t>32.99.61.00.00.00.30.78.1</t>
  </si>
  <si>
    <t>сентябрь, октябрь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</si>
  <si>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</si>
  <si>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</si>
  <si>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</si>
  <si>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</si>
  <si>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</si>
  <si>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</si>
  <si>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</si>
  <si>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</si>
  <si>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</si>
  <si>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</si>
  <si>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</si>
  <si>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</si>
  <si>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</si>
  <si>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</si>
  <si>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</si>
  <si>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</si>
  <si>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</si>
  <si>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</si>
  <si>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</si>
  <si>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</si>
  <si>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</si>
  <si>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</si>
  <si>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</si>
  <si>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</si>
  <si>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</si>
  <si>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</si>
  <si>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</si>
  <si>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</si>
  <si>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</si>
  <si>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</si>
  <si>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</si>
  <si>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</si>
  <si>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</si>
  <si>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</si>
  <si>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</si>
  <si>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</si>
  <si>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</si>
  <si>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</si>
  <si>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</si>
  <si>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</si>
  <si>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</si>
  <si>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неэтилированный и этилированный, произведенный для двигателей с искровым зажиганием: АИ-80</t>
  </si>
  <si>
    <t>талон</t>
  </si>
  <si>
    <t>95 Т</t>
  </si>
  <si>
    <t>Работы по содержанию и текущему ремонту железнодорожных подъездных путей</t>
  </si>
  <si>
    <t>Работы  по содержанию и текущему ремонту железнодорожных подъездных путей</t>
  </si>
  <si>
    <t>42.12.20.31.00.00.00</t>
  </si>
  <si>
    <t>июнь, июль, август</t>
  </si>
  <si>
    <t>2 Р</t>
  </si>
  <si>
    <t>Услуги по проведению аудита финансовой отчетности</t>
  </si>
  <si>
    <t>69.20.10.15.10.00.00</t>
  </si>
  <si>
    <t>декабрь, январь, февраль</t>
  </si>
  <si>
    <t>Услуги по аренде офисных помещений</t>
  </si>
  <si>
    <t>68.20.12.00.00.00.01</t>
  </si>
  <si>
    <t>с 1 января по 31 декабря 2015 года</t>
  </si>
  <si>
    <t>г. Кокшетау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</si>
  <si>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</si>
  <si>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</si>
  <si>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61.10.11.06.01.00.00</t>
  </si>
  <si>
    <t>Услуги юридические консультационные</t>
  </si>
  <si>
    <t>Услуги  юридические консультационные по правовому сопровождению</t>
  </si>
  <si>
    <t>69.10.14.05.00.00.00</t>
  </si>
  <si>
    <t>январь, февраль, март, апрель</t>
  </si>
  <si>
    <t>Услуги консультационные по вопросам совершенствования тарифной политики</t>
  </si>
  <si>
    <t>70.22.11.12.00.00.00</t>
  </si>
  <si>
    <t>Формирование тарифных смет и расчет на регулируемые услуги подъездных путей</t>
  </si>
  <si>
    <t>Услуги по аренде складских помещений</t>
  </si>
  <si>
    <t>68.20.12.00.00.00.07</t>
  </si>
  <si>
    <t>Услуги по оценке имущества</t>
  </si>
  <si>
    <t>Комплекс услуг по оценке имущества</t>
  </si>
  <si>
    <t>Техническое обслуживание автотранспорта</t>
  </si>
  <si>
    <t>Техническое обслуживание  автотранспорта (замена масел, жидкостей, фильтров, тормозных колодок, свечей, ремней)</t>
  </si>
  <si>
    <t>29.20.40.16.00.00.00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</si>
  <si>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</si>
  <si>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</si>
  <si>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96.09.19.90.18.00.00</t>
  </si>
  <si>
    <t>декабрь,январь, февраль</t>
  </si>
  <si>
    <t>Услуги по пользованию информационной системой электронных закупок</t>
  </si>
  <si>
    <t>62.09.20.20.80.10.00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</si>
  <si>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</si>
  <si>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</si>
  <si>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77.39.14.10.00.00.00</t>
  </si>
  <si>
    <t>Услуги по подписке на другие периодические издания</t>
  </si>
  <si>
    <t>53.10.11.30.20.00.00</t>
  </si>
  <si>
    <t xml:space="preserve">январь, февраль, </t>
  </si>
  <si>
    <t>бухгалтерский комплект</t>
  </si>
  <si>
    <t>Услуги по продаже места для размещения рекламных объявлений в газетах, печатных республиканских</t>
  </si>
  <si>
    <t>58.13.31.10.00.00.00</t>
  </si>
  <si>
    <t>февраль, март апрель</t>
  </si>
  <si>
    <t>открытая площадка</t>
  </si>
  <si>
    <t>Услуги по печатанию</t>
  </si>
  <si>
    <t>Услуги по печатанию календарей  и прочей офисной печатной продукции, в том числе имиджевой</t>
  </si>
  <si>
    <t>18.12.12.11.00.00.00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</si>
  <si>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</si>
  <si>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</si>
  <si>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85.59.19.10.00.00.00</t>
  </si>
  <si>
    <t>г. Астана</t>
  </si>
  <si>
    <t>г. Семей</t>
  </si>
  <si>
    <t>г. Караганда</t>
  </si>
  <si>
    <t>г. Актобе</t>
  </si>
  <si>
    <t>г. Лисаковск</t>
  </si>
  <si>
    <t>г. Кызылорда</t>
  </si>
  <si>
    <t>г. Уральск</t>
  </si>
  <si>
    <t>г. Талдыкорган</t>
  </si>
  <si>
    <t>г. Актау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</si>
  <si>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</si>
  <si>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</si>
  <si>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65.12.21.10.00.00.01</t>
  </si>
  <si>
    <t>май, июнь, июль</t>
  </si>
  <si>
    <t>Услуги мойки автомашин</t>
  </si>
  <si>
    <t>52.21.29.10.00.00.00</t>
  </si>
  <si>
    <t>январь, февраль</t>
  </si>
  <si>
    <t>Услуги военизированной железнодорожной охраны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</si>
  <si>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</si>
  <si>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</si>
  <si>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65.12.11.00.00.00.01</t>
  </si>
  <si>
    <t>Услуги по техническому обслуживанию офисной оргтехники</t>
  </si>
  <si>
    <t>33.12.16.23.20.00.00</t>
  </si>
  <si>
    <t>с заправкой катриджей</t>
  </si>
  <si>
    <t>Услуги по аренде погрузчика с водителем</t>
  </si>
  <si>
    <t>49.41.20.16.20.00.00</t>
  </si>
  <si>
    <t>Услуги курьерской почты внутри страны</t>
  </si>
  <si>
    <t>53.20.11.10.10.00.00</t>
  </si>
  <si>
    <t>декабрь 2014 г, январь, февраль</t>
  </si>
  <si>
    <t>Услуги по паспортизации железнодорожного подъездного пути</t>
  </si>
  <si>
    <t>февраль,март, апрель</t>
  </si>
  <si>
    <t xml:space="preserve"> май, июнь</t>
  </si>
  <si>
    <t>август, сентябрь, октябрь, ноябрь</t>
  </si>
  <si>
    <t>Услуги по охране имущества</t>
  </si>
  <si>
    <t>Бюджет</t>
  </si>
  <si>
    <t>Смета</t>
  </si>
  <si>
    <t>чекті термотаспа</t>
  </si>
  <si>
    <t>орамада, кассалық аппараттар үшін қағаз таспасы</t>
  </si>
  <si>
    <t>17.29.19.30.00.00.00.40.1</t>
  </si>
  <si>
    <t>Рулон</t>
  </si>
  <si>
    <t>рулон</t>
  </si>
  <si>
    <t>Формирование тарифных смет и расчет на регулируемые услуги подъездных путей. Подготовка тарифной заявки на предельный уровень тарифов на среденесрочный период 2015-2020 г.г.</t>
  </si>
  <si>
    <t>Консалтинговые соправождение процедуры согласования и утверждения в уполномоченными государственными органами инвестиционной программы</t>
  </si>
  <si>
    <t>Услуги по аренде парковочных мест в автомобильном паркинге</t>
  </si>
  <si>
    <t>68.20.12.10.10.00.00</t>
  </si>
  <si>
    <t xml:space="preserve">декабрь 2014 г., январь, февраль, </t>
  </si>
  <si>
    <t>47 Т</t>
  </si>
  <si>
    <t>48 Т</t>
  </si>
  <si>
    <t>49 Т</t>
  </si>
  <si>
    <t>50 Т</t>
  </si>
  <si>
    <t>51 Т</t>
  </si>
  <si>
    <t>52 Т</t>
  </si>
  <si>
    <t>53 Т</t>
  </si>
  <si>
    <t>2 У</t>
  </si>
  <si>
    <t>3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</si>
  <si>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</si>
  <si>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</si>
  <si>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</si>
  <si>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</si>
  <si>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</si>
  <si>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</si>
  <si>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</si>
  <si>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</si>
  <si>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</si>
  <si>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</si>
  <si>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</si>
  <si>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</si>
  <si>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</si>
  <si>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</si>
  <si>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</si>
  <si>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</si>
  <si>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</si>
  <si>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</si>
  <si>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</si>
  <si>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</si>
  <si>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</si>
  <si>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</si>
  <si>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</si>
  <si>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Итого по услугам:</t>
  </si>
  <si>
    <t>ВСЕГО:</t>
  </si>
  <si>
    <t>Генеральный директор</t>
  </si>
  <si>
    <t>Исп.Увалиев Н.К.</t>
  </si>
  <si>
    <t>тел..557-917, вн. 9250</t>
  </si>
  <si>
    <t>О. Исмаилов</t>
  </si>
  <si>
    <t>Реквизиты   (№ приказа и дата утверждения плана закупок) №_______от ______________________________ 2015 года</t>
  </si>
  <si>
    <t>Наименование</t>
  </si>
  <si>
    <t>Товары</t>
  </si>
  <si>
    <t>ГСМ</t>
  </si>
  <si>
    <t>МВСП</t>
  </si>
  <si>
    <t>Путевые инструменты</t>
  </si>
  <si>
    <t>Спецодежда</t>
  </si>
  <si>
    <t>Канцтовары</t>
  </si>
  <si>
    <t>Программные обеспечения и комплектующие</t>
  </si>
  <si>
    <t>Работы</t>
  </si>
  <si>
    <t>Услуги</t>
  </si>
  <si>
    <t>Консалтинговые услуги</t>
  </si>
  <si>
    <t>Услуги по аренде офисов</t>
  </si>
  <si>
    <t>Юридические услуги</t>
  </si>
  <si>
    <t>ТО автомобиля</t>
  </si>
  <si>
    <t>Услуги сайта закупок и отчетности</t>
  </si>
  <si>
    <t>Периодическая печатные издания (подписка)</t>
  </si>
  <si>
    <t>Услуги типографии</t>
  </si>
  <si>
    <t>Услуги СМИ</t>
  </si>
  <si>
    <t>ВСЕГО</t>
  </si>
  <si>
    <t>№ п/п</t>
  </si>
  <si>
    <t>Сумма, тенге без НДС</t>
  </si>
  <si>
    <t>Итого по товарам</t>
  </si>
  <si>
    <t>Итого по работам</t>
  </si>
  <si>
    <t>Итого по услугам</t>
  </si>
  <si>
    <t>План закупок товаров, работ и услуг  ТОО "Транспортный холдинг Казахстана" на 2015  год</t>
  </si>
  <si>
    <t>сентябрь, октябрь, ноябрь</t>
  </si>
  <si>
    <t>2.1.</t>
  </si>
  <si>
    <t>2.2.</t>
  </si>
  <si>
    <t>Приложение 1. План закупок товаров, работ и услуги ТОО "Транспортный холдинг Казахстан" на 2015 год</t>
  </si>
  <si>
    <t xml:space="preserve">Экономист ТОО "Транспортный холдинг Казахстана" </t>
  </si>
  <si>
    <t xml:space="preserve">   Увалиев Н.К.</t>
  </si>
  <si>
    <t xml:space="preserve">Мастер производственных участков и ТБ ТОО "Транспортный холдинг Казахстана" </t>
  </si>
  <si>
    <t xml:space="preserve">          Кошкинбаева Г.Н.</t>
  </si>
  <si>
    <t>1.Формирование тарифных смет и расчет на регулируемые услуги подъездных путей. Подготовка тарифной заявки на предельный уровень тарифов на среденесрочный период 2015-2020 г.г. 2.Консалтинговые соправождение процедуры согласования и утверждения в уполномоченными государственными органами инвестиционной программы</t>
  </si>
  <si>
    <t>замена автошин</t>
  </si>
  <si>
    <t>визитки, фирменные бланки</t>
  </si>
  <si>
    <t>Нитки швейные хлопчатобумажные</t>
  </si>
  <si>
    <t>Глянцевые швейные нитки. Марки "Прочные" в 6 сложений. Под торговым номером 30. Линейная плотность - 11 текс *3 , ГОСТ 6309-93*2</t>
  </si>
  <si>
    <t>13.10.62.00.00.20.40.30.1</t>
  </si>
  <si>
    <t>Катушка условная</t>
  </si>
  <si>
    <t>61.10.43.01.01.00.00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</si>
  <si>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</si>
  <si>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</si>
  <si>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Программное обеспечение и комплектующие</t>
  </si>
  <si>
    <t>12 126 207</t>
  </si>
  <si>
    <t>Консалтинговые услуги:</t>
  </si>
  <si>
    <t>1. Формирование тарифных смет и расчет на регулируемые услуги подъездных путей. Подготовка тарифной заявки на предельный уровень тарифов на среднесрочный период 2015-2020 г.г. Консалтинговое сопровождение процедуры утверждения тарифной заявки уполномоченным гос.органом</t>
  </si>
  <si>
    <t>2. Консалтинговые сопровождение процедуры согласования и утверждения в уполномоченными государственными органами инвестиционной программы</t>
  </si>
  <si>
    <t>11 721 442</t>
  </si>
  <si>
    <t>25 097 649</t>
  </si>
  <si>
    <t>4 У</t>
  </si>
  <si>
    <t>28 У</t>
  </si>
  <si>
    <t>29 У</t>
  </si>
  <si>
    <t>30 У</t>
  </si>
  <si>
    <t>31 У</t>
  </si>
  <si>
    <t>32 У</t>
  </si>
  <si>
    <t>33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</si>
</sst>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;[Red]\-#,##0&quot;р.&quot;"/>
    <numFmt numFmtId="165" formatCode="[$-419]General"/>
    <numFmt numFmtId="166" formatCode="#,##0.000"/>
    <numFmt numFmtId="167" formatCode="#,##0.00\ _₽"/>
    <numFmt numFmtId="168" formatCode="#,##0\ _₽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6">
    <xf numFmtId="0" fontId="0" fillId="0" borderId="0"/>
    <xf numFmtId="0" fontId="8" fillId="0" borderId="0"/>
    <xf numFmtId="0" fontId="11" fillId="0" borderId="0"/>
    <xf numFmtId="0" fontId="8" fillId="0" borderId="0"/>
    <xf numFmtId="0" fontId="12" fillId="0" borderId="0"/>
    <xf numFmtId="0" fontId="7" fillId="0" borderId="0"/>
    <xf numFmtId="165" fontId="13" fillId="0" borderId="0" applyBorder="0" applyProtection="0"/>
    <xf numFmtId="0" fontId="16" fillId="0" borderId="0"/>
    <xf numFmtId="0" fontId="8" fillId="0" borderId="0"/>
    <xf numFmtId="0" fontId="17" fillId="0" borderId="0"/>
    <xf numFmtId="0" fontId="18" fillId="0" borderId="0"/>
    <xf numFmtId="0" fontId="19" fillId="0" borderId="0"/>
    <xf numFmtId="0" fontId="6" fillId="0" borderId="0"/>
    <xf numFmtId="0" fontId="5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5" fillId="0" borderId="0"/>
    <xf numFmtId="0" fontId="16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95">
    <xf numFmtId="0" fontId="0" fillId="0" borderId="0" xfId="0"/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9" fontId="9" fillId="2" borderId="0" xfId="1" applyNumberFormat="1" applyFont="1" applyFill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9" fontId="9" fillId="2" borderId="2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9" fontId="14" fillId="2" borderId="0" xfId="0" applyNumberFormat="1" applyFont="1" applyFill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9" fontId="9" fillId="2" borderId="0" xfId="1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7" applyFont="1" applyFill="1" applyBorder="1" applyAlignment="1">
      <alignment horizontal="center" vertical="center" wrapText="1"/>
    </xf>
    <xf numFmtId="1" fontId="9" fillId="2" borderId="0" xfId="1" applyNumberFormat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21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9" fontId="22" fillId="2" borderId="0" xfId="1" applyNumberFormat="1" applyFont="1" applyFill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5" fillId="2" borderId="3" xfId="5" applyFont="1" applyFill="1" applyBorder="1" applyAlignment="1">
      <alignment horizontal="center" vertical="center" wrapText="1"/>
    </xf>
    <xf numFmtId="0" fontId="24" fillId="2" borderId="3" xfId="1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4" fontId="24" fillId="2" borderId="3" xfId="1" applyNumberFormat="1" applyFont="1" applyFill="1" applyBorder="1" applyAlignment="1">
      <alignment horizontal="center" vertical="center" wrapText="1"/>
    </xf>
    <xf numFmtId="166" fontId="25" fillId="2" borderId="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7" fillId="2" borderId="5" xfId="1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6" xfId="1" applyFont="1" applyFill="1" applyBorder="1" applyAlignment="1">
      <alignment horizontal="center" vertical="center" wrapText="1"/>
    </xf>
    <xf numFmtId="9" fontId="27" fillId="2" borderId="6" xfId="1" applyNumberFormat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29" fillId="2" borderId="8" xfId="1" applyNumberFormat="1" applyFont="1" applyFill="1" applyBorder="1" applyAlignment="1">
      <alignment horizontal="center" vertical="center" wrapText="1"/>
    </xf>
    <xf numFmtId="0" fontId="28" fillId="2" borderId="3" xfId="1" applyFont="1" applyFill="1" applyBorder="1" applyAlignment="1">
      <alignment horizontal="center" vertical="center" wrapText="1"/>
    </xf>
    <xf numFmtId="1" fontId="28" fillId="2" borderId="3" xfId="1" applyNumberFormat="1" applyFont="1" applyFill="1" applyBorder="1" applyAlignment="1">
      <alignment horizontal="center" vertical="center" wrapText="1"/>
    </xf>
    <xf numFmtId="9" fontId="28" fillId="2" borderId="3" xfId="0" applyNumberFormat="1" applyFont="1" applyFill="1" applyBorder="1" applyAlignment="1">
      <alignment horizontal="center" vertical="center" wrapText="1"/>
    </xf>
    <xf numFmtId="4" fontId="28" fillId="2" borderId="3" xfId="1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9" fontId="24" fillId="2" borderId="3" xfId="1" applyNumberFormat="1" applyFont="1" applyFill="1" applyBorder="1" applyAlignment="1">
      <alignment horizontal="center" vertical="center" wrapText="1"/>
    </xf>
    <xf numFmtId="0" fontId="31" fillId="2" borderId="3" xfId="2" applyFont="1" applyFill="1" applyBorder="1" applyAlignment="1">
      <alignment horizontal="center" vertical="center" wrapText="1"/>
    </xf>
    <xf numFmtId="9" fontId="24" fillId="2" borderId="3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 indent="1"/>
    </xf>
    <xf numFmtId="0" fontId="32" fillId="0" borderId="15" xfId="0" applyFont="1" applyBorder="1" applyAlignment="1">
      <alignment horizontal="left" vertical="center" wrapText="1" indent="1"/>
    </xf>
    <xf numFmtId="0" fontId="32" fillId="0" borderId="0" xfId="0" applyFont="1"/>
    <xf numFmtId="0" fontId="32" fillId="3" borderId="14" xfId="0" applyFont="1" applyFill="1" applyBorder="1" applyAlignment="1">
      <alignment horizontal="left" vertical="center" wrapText="1" indent="1"/>
    </xf>
    <xf numFmtId="0" fontId="32" fillId="3" borderId="15" xfId="0" applyFont="1" applyFill="1" applyBorder="1" applyAlignment="1">
      <alignment horizontal="left" vertical="center" wrapText="1" indent="1"/>
    </xf>
    <xf numFmtId="4" fontId="24" fillId="3" borderId="3" xfId="1" applyNumberFormat="1" applyFont="1" applyFill="1" applyBorder="1" applyAlignment="1">
      <alignment horizontal="center" vertical="center" wrapText="1"/>
    </xf>
    <xf numFmtId="4" fontId="24" fillId="0" borderId="3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0" fontId="28" fillId="2" borderId="9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24" fillId="2" borderId="0" xfId="1" applyFont="1" applyFill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9" fontId="24" fillId="2" borderId="0" xfId="1" applyNumberFormat="1" applyFont="1" applyFill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9" fontId="24" fillId="2" borderId="2" xfId="1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9" fontId="25" fillId="2" borderId="0" xfId="0" applyNumberFormat="1" applyFont="1" applyFill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9" fontId="24" fillId="2" borderId="0" xfId="1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1" fontId="24" fillId="2" borderId="0" xfId="1" applyNumberFormat="1" applyFont="1" applyFill="1" applyBorder="1" applyAlignment="1">
      <alignment horizontal="center" vertical="center" wrapText="1"/>
    </xf>
    <xf numFmtId="0" fontId="24" fillId="2" borderId="0" xfId="1" applyFont="1" applyFill="1" applyAlignment="1">
      <alignment horizontal="left" vertical="center" wrapText="1"/>
    </xf>
    <xf numFmtId="0" fontId="25" fillId="0" borderId="0" xfId="0" applyFont="1"/>
    <xf numFmtId="0" fontId="27" fillId="2" borderId="3" xfId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9" fontId="27" fillId="2" borderId="3" xfId="1" applyNumberFormat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29" fillId="2" borderId="3" xfId="1" applyNumberFormat="1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wrapText="1"/>
    </xf>
    <xf numFmtId="0" fontId="33" fillId="0" borderId="3" xfId="0" applyFont="1" applyBorder="1" applyAlignment="1">
      <alignment horizontal="left" vertical="center" wrapText="1" indent="1"/>
    </xf>
    <xf numFmtId="0" fontId="24" fillId="2" borderId="17" xfId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4" fillId="2" borderId="17" xfId="1" applyNumberFormat="1" applyFont="1" applyFill="1" applyBorder="1" applyAlignment="1">
      <alignment horizontal="center" vertical="center" wrapText="1"/>
    </xf>
    <xf numFmtId="166" fontId="25" fillId="2" borderId="17" xfId="0" applyNumberFormat="1" applyFont="1" applyFill="1" applyBorder="1" applyAlignment="1">
      <alignment horizontal="center" vertical="center" wrapText="1"/>
    </xf>
    <xf numFmtId="4" fontId="24" fillId="2" borderId="17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9" fontId="9" fillId="2" borderId="3" xfId="1" applyNumberFormat="1" applyFont="1" applyFill="1" applyBorder="1" applyAlignment="1">
      <alignment horizontal="center" vertical="center" wrapText="1"/>
    </xf>
    <xf numFmtId="4" fontId="10" fillId="2" borderId="3" xfId="1" applyNumberFormat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center" vertical="center" wrapText="1"/>
    </xf>
    <xf numFmtId="167" fontId="10" fillId="2" borderId="3" xfId="1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 indent="1"/>
    </xf>
    <xf numFmtId="0" fontId="32" fillId="0" borderId="18" xfId="0" applyFont="1" applyBorder="1" applyAlignment="1">
      <alignment horizontal="left" vertical="center" wrapText="1" indent="1"/>
    </xf>
    <xf numFmtId="4" fontId="23" fillId="2" borderId="3" xfId="1" applyNumberFormat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4" fontId="24" fillId="2" borderId="0" xfId="1" applyNumberFormat="1" applyFont="1" applyFill="1" applyBorder="1" applyAlignment="1">
      <alignment horizontal="center" vertical="center" wrapText="1"/>
    </xf>
    <xf numFmtId="166" fontId="25" fillId="2" borderId="0" xfId="0" applyNumberFormat="1" applyFont="1" applyFill="1" applyBorder="1" applyAlignment="1">
      <alignment horizontal="center" vertical="center" wrapText="1"/>
    </xf>
    <xf numFmtId="4" fontId="28" fillId="3" borderId="3" xfId="1" applyNumberFormat="1" applyFont="1" applyFill="1" applyBorder="1" applyAlignment="1">
      <alignment horizontal="center" vertical="center" wrapText="1"/>
    </xf>
    <xf numFmtId="4" fontId="23" fillId="2" borderId="0" xfId="1" applyNumberFormat="1" applyFont="1" applyFill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" fontId="0" fillId="0" borderId="0" xfId="0" applyNumberFormat="1"/>
    <xf numFmtId="49" fontId="27" fillId="2" borderId="3" xfId="1" applyNumberFormat="1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 wrapText="1"/>
    </xf>
    <xf numFmtId="0" fontId="24" fillId="2" borderId="0" xfId="1" applyFont="1" applyFill="1" applyAlignment="1">
      <alignment vertical="center" wrapText="1"/>
    </xf>
    <xf numFmtId="0" fontId="24" fillId="2" borderId="13" xfId="1" applyFont="1" applyFill="1" applyBorder="1" applyAlignment="1">
      <alignment vertical="center" wrapText="1"/>
    </xf>
    <xf numFmtId="0" fontId="24" fillId="2" borderId="4" xfId="1" applyFont="1" applyFill="1" applyBorder="1" applyAlignment="1">
      <alignment horizontal="center" vertical="center" wrapText="1"/>
    </xf>
    <xf numFmtId="1" fontId="28" fillId="2" borderId="0" xfId="1" applyNumberFormat="1" applyFont="1" applyFill="1" applyBorder="1" applyAlignment="1">
      <alignment horizontal="center" vertical="center" wrapText="1"/>
    </xf>
    <xf numFmtId="9" fontId="28" fillId="2" borderId="0" xfId="0" applyNumberFormat="1" applyFont="1" applyFill="1" applyBorder="1" applyAlignment="1">
      <alignment horizontal="center" vertical="center" wrapText="1"/>
    </xf>
    <xf numFmtId="4" fontId="28" fillId="2" borderId="0" xfId="1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168" fontId="25" fillId="0" borderId="3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168" fontId="34" fillId="0" borderId="3" xfId="0" applyNumberFormat="1" applyFont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 wrapText="1"/>
    </xf>
    <xf numFmtId="0" fontId="25" fillId="0" borderId="3" xfId="5" applyFont="1" applyFill="1" applyBorder="1" applyAlignment="1">
      <alignment horizontal="center" vertical="center" wrapText="1"/>
    </xf>
    <xf numFmtId="9" fontId="24" fillId="0" borderId="3" xfId="0" applyNumberFormat="1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9" fontId="24" fillId="2" borderId="17" xfId="0" applyNumberFormat="1" applyFont="1" applyFill="1" applyBorder="1" applyAlignment="1">
      <alignment horizontal="center" vertical="center" wrapText="1"/>
    </xf>
    <xf numFmtId="0" fontId="31" fillId="2" borderId="17" xfId="2" applyFont="1" applyFill="1" applyBorder="1" applyAlignment="1">
      <alignment horizontal="center" vertical="center" wrapText="1"/>
    </xf>
    <xf numFmtId="0" fontId="24" fillId="2" borderId="19" xfId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9" fontId="24" fillId="2" borderId="19" xfId="0" applyNumberFormat="1" applyFont="1" applyFill="1" applyBorder="1" applyAlignment="1">
      <alignment horizontal="center" vertical="center" wrapText="1"/>
    </xf>
    <xf numFmtId="4" fontId="24" fillId="2" borderId="19" xfId="1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3" fontId="33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3" fontId="35" fillId="0" borderId="22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4" borderId="22" xfId="0" applyFont="1" applyFill="1" applyBorder="1" applyAlignment="1">
      <alignment horizontal="center" vertical="center" wrapText="1"/>
    </xf>
    <xf numFmtId="0" fontId="25" fillId="2" borderId="19" xfId="5" applyFont="1" applyFill="1" applyBorder="1" applyAlignment="1">
      <alignment vertical="center" wrapText="1"/>
    </xf>
    <xf numFmtId="0" fontId="33" fillId="0" borderId="19" xfId="0" applyFont="1" applyBorder="1" applyAlignment="1">
      <alignment vertical="center"/>
    </xf>
    <xf numFmtId="0" fontId="33" fillId="0" borderId="19" xfId="0" applyFont="1" applyBorder="1" applyAlignment="1">
      <alignment vertical="center" wrapText="1"/>
    </xf>
    <xf numFmtId="0" fontId="24" fillId="2" borderId="19" xfId="1" applyFont="1" applyFill="1" applyBorder="1" applyAlignment="1">
      <alignment vertical="center" wrapText="1"/>
    </xf>
    <xf numFmtId="0" fontId="31" fillId="2" borderId="19" xfId="2" applyFont="1" applyFill="1" applyBorder="1" applyAlignment="1">
      <alignment vertical="center" wrapText="1"/>
    </xf>
    <xf numFmtId="4" fontId="24" fillId="2" borderId="19" xfId="1" applyNumberFormat="1" applyFont="1" applyFill="1" applyBorder="1" applyAlignment="1">
      <alignment vertical="center" wrapText="1"/>
    </xf>
    <xf numFmtId="0" fontId="9" fillId="0" borderId="0" xfId="1" applyFont="1" applyFill="1" applyAlignment="1">
      <alignment horizontal="center" vertical="center" wrapText="1"/>
    </xf>
    <xf numFmtId="0" fontId="25" fillId="0" borderId="19" xfId="5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/>
    </xf>
    <xf numFmtId="0" fontId="24" fillId="0" borderId="19" xfId="1" applyFont="1" applyFill="1" applyBorder="1" applyAlignment="1">
      <alignment horizontal="center" vertical="center" wrapText="1"/>
    </xf>
    <xf numFmtId="9" fontId="24" fillId="0" borderId="19" xfId="0" applyNumberFormat="1" applyFont="1" applyFill="1" applyBorder="1" applyAlignment="1">
      <alignment horizontal="center" vertical="center" wrapText="1"/>
    </xf>
    <xf numFmtId="0" fontId="31" fillId="0" borderId="19" xfId="2" applyFont="1" applyFill="1" applyBorder="1" applyAlignment="1">
      <alignment horizontal="center" vertical="center" wrapText="1"/>
    </xf>
    <xf numFmtId="4" fontId="24" fillId="0" borderId="19" xfId="1" applyNumberFormat="1" applyFont="1" applyFill="1" applyBorder="1" applyAlignment="1">
      <alignment horizontal="center" vertical="center" wrapText="1"/>
    </xf>
    <xf numFmtId="3" fontId="25" fillId="0" borderId="22" xfId="0" applyNumberFormat="1" applyFont="1" applyBorder="1" applyAlignment="1">
      <alignment horizontal="center" vertical="center"/>
    </xf>
    <xf numFmtId="4" fontId="9" fillId="2" borderId="0" xfId="1" applyNumberFormat="1" applyFont="1" applyFill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left" vertical="center" wrapText="1"/>
    </xf>
    <xf numFmtId="0" fontId="24" fillId="2" borderId="0" xfId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0" fontId="10" fillId="2" borderId="0" xfId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0" fontId="28" fillId="2" borderId="3" xfId="1" applyFont="1" applyFill="1" applyBorder="1" applyAlignment="1">
      <alignment horizontal="left" vertical="center" wrapText="1"/>
    </xf>
    <xf numFmtId="0" fontId="28" fillId="2" borderId="3" xfId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center" vertical="center" wrapText="1"/>
    </xf>
    <xf numFmtId="0" fontId="33" fillId="0" borderId="27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28" fillId="2" borderId="11" xfId="1" applyFont="1" applyFill="1" applyBorder="1" applyAlignment="1">
      <alignment horizontal="left" vertical="center" wrapText="1"/>
    </xf>
    <xf numFmtId="0" fontId="28" fillId="2" borderId="12" xfId="1" applyFont="1" applyFill="1" applyBorder="1" applyAlignment="1">
      <alignment horizontal="left" vertical="center" wrapText="1"/>
    </xf>
    <xf numFmtId="0" fontId="28" fillId="2" borderId="9" xfId="1" applyFont="1" applyFill="1" applyBorder="1" applyAlignment="1">
      <alignment horizontal="left" vertical="center" wrapText="1"/>
    </xf>
    <xf numFmtId="0" fontId="28" fillId="2" borderId="10" xfId="1" applyFont="1" applyFill="1" applyBorder="1" applyAlignment="1">
      <alignment horizontal="left" vertical="center" wrapText="1"/>
    </xf>
  </cellXfs>
  <cellStyles count="76">
    <cellStyle name="Excel Built-in Normal" xfId="6"/>
    <cellStyle name="Excel Built-in Normal 2" xfId="33"/>
    <cellStyle name="КАНДАГАЧ тел3-33-96" xfId="3"/>
    <cellStyle name="КАНДАГАЧ тел3-33-96 2" xfId="8"/>
    <cellStyle name="Обычный" xfId="0" builtinId="0"/>
    <cellStyle name="Обычный 10" xfId="31"/>
    <cellStyle name="Обычный 10 2" xfId="34"/>
    <cellStyle name="Обычный 10 2 2" xfId="67"/>
    <cellStyle name="Обычный 10 3" xfId="66"/>
    <cellStyle name="Обычный 11" xfId="32"/>
    <cellStyle name="Обычный 13" xfId="4"/>
    <cellStyle name="Обычный 13 2" xfId="35"/>
    <cellStyle name="Обычный 17" xfId="36"/>
    <cellStyle name="Обычный 17 2" xfId="68"/>
    <cellStyle name="Обычный 2" xfId="1"/>
    <cellStyle name="Обычный 2 14" xfId="13"/>
    <cellStyle name="Обычный 2 14 2" xfId="50"/>
    <cellStyle name="Обычный 2 2" xfId="9"/>
    <cellStyle name="Обычный 2 3" xfId="30"/>
    <cellStyle name="Обычный 21" xfId="15"/>
    <cellStyle name="Обычный 21 2" xfId="51"/>
    <cellStyle name="Обычный 22" xfId="16"/>
    <cellStyle name="Обычный 22 2" xfId="52"/>
    <cellStyle name="Обычный 23" xfId="17"/>
    <cellStyle name="Обычный 23 2" xfId="53"/>
    <cellStyle name="Обычный 24" xfId="37"/>
    <cellStyle name="Обычный 24 2" xfId="69"/>
    <cellStyle name="Обычный 25" xfId="18"/>
    <cellStyle name="Обычный 25 2" xfId="54"/>
    <cellStyle name="Обычный 26" xfId="19"/>
    <cellStyle name="Обычный 26 2" xfId="55"/>
    <cellStyle name="Обычный 27" xfId="20"/>
    <cellStyle name="Обычный 27 2" xfId="56"/>
    <cellStyle name="Обычный 28" xfId="21"/>
    <cellStyle name="Обычный 28 2" xfId="57"/>
    <cellStyle name="Обычный 29" xfId="12"/>
    <cellStyle name="Обычный 29 2" xfId="49"/>
    <cellStyle name="Обычный 3" xfId="5"/>
    <cellStyle name="Обычный 3 2" xfId="38"/>
    <cellStyle name="Обычный 3 2 2" xfId="47"/>
    <cellStyle name="Обычный 3 2 2 2" xfId="75"/>
    <cellStyle name="Обычный 3 2 3" xfId="70"/>
    <cellStyle name="Обычный 3 3" xfId="48"/>
    <cellStyle name="Обычный 30" xfId="22"/>
    <cellStyle name="Обычный 30 2" xfId="58"/>
    <cellStyle name="Обычный 31" xfId="23"/>
    <cellStyle name="Обычный 31 2" xfId="59"/>
    <cellStyle name="Обычный 32" xfId="24"/>
    <cellStyle name="Обычный 32 2" xfId="60"/>
    <cellStyle name="Обычный 33" xfId="25"/>
    <cellStyle name="Обычный 33 2" xfId="61"/>
    <cellStyle name="Обычный 34" xfId="26"/>
    <cellStyle name="Обычный 34 2" xfId="62"/>
    <cellStyle name="Обычный 35" xfId="27"/>
    <cellStyle name="Обычный 35 2" xfId="63"/>
    <cellStyle name="Обычный 36" xfId="28"/>
    <cellStyle name="Обычный 36 2" xfId="64"/>
    <cellStyle name="Обычный 37" xfId="29"/>
    <cellStyle name="Обычный 37 2" xfId="65"/>
    <cellStyle name="Обычный 4" xfId="39"/>
    <cellStyle name="Обычный 4 5" xfId="40"/>
    <cellStyle name="Обычный 5" xfId="7"/>
    <cellStyle name="Обычный 6" xfId="10"/>
    <cellStyle name="Обычный 6 2" xfId="41"/>
    <cellStyle name="Обычный 6 2 2" xfId="71"/>
    <cellStyle name="Обычный 6 2 4" xfId="42"/>
    <cellStyle name="Обычный 6 2 4 2" xfId="72"/>
    <cellStyle name="Обычный 7" xfId="11"/>
    <cellStyle name="Обычный 8" xfId="43"/>
    <cellStyle name="Обычный 8 2" xfId="73"/>
    <cellStyle name="Обычный 9" xfId="44"/>
    <cellStyle name="Обычный_Лист2" xfId="2"/>
    <cellStyle name="Стиль 1" xfId="14"/>
    <cellStyle name="Стиль 1 2" xfId="45"/>
    <cellStyle name="Финансовый 2" xfId="46"/>
    <cellStyle name="Финансовый 2 2" xfId="7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9"/>
  <sheetViews>
    <sheetView tabSelected="1" topLeftCell="F1" zoomScale="70" zoomScaleNormal="70" zoomScaleSheetLayoutView="75" workbookViewId="0">
      <pane ySplit="14" topLeftCell="A15" activePane="bottomLeft" state="frozen"/>
      <selection pane="bottomLeft" activeCell="A161" sqref="A2:X161"/>
    </sheetView>
  </sheetViews>
  <sheetFormatPr defaultRowHeight="12.75" outlineLevelRow="1" x14ac:dyDescent="0.25"/>
  <cols>
    <col min="1" max="1" width="7.42578125" style="1" customWidth="1"/>
    <col min="2" max="2" width="18.5703125" style="1" customWidth="1"/>
    <col min="3" max="3" width="28.28515625" style="1" customWidth="1"/>
    <col min="4" max="4" width="27.28515625" style="1" customWidth="1"/>
    <col min="5" max="5" width="34.140625" style="1" customWidth="1"/>
    <col min="6" max="6" width="38.42578125" style="1" customWidth="1"/>
    <col min="7" max="7" width="11.42578125" style="1" customWidth="1"/>
    <col min="8" max="8" width="17" style="1" customWidth="1"/>
    <col min="9" max="9" width="17.7109375" style="1" customWidth="1"/>
    <col min="10" max="10" width="17.28515625" style="1" customWidth="1"/>
    <col min="11" max="11" width="19.5703125" style="1" customWidth="1"/>
    <col min="12" max="12" width="26.28515625" style="1" customWidth="1"/>
    <col min="13" max="13" width="16.7109375" style="1" customWidth="1"/>
    <col min="14" max="14" width="20.7109375" style="1" customWidth="1"/>
    <col min="15" max="15" width="16.42578125" style="3" customWidth="1"/>
    <col min="16" max="16" width="14.42578125" style="4" customWidth="1"/>
    <col min="17" max="17" width="10.85546875" style="1" customWidth="1"/>
    <col min="18" max="18" width="12.5703125" style="1" customWidth="1"/>
    <col min="19" max="19" width="16.5703125" style="1" customWidth="1"/>
    <col min="20" max="20" width="20.28515625" style="1" customWidth="1"/>
    <col min="21" max="21" width="20" style="1" customWidth="1"/>
    <col min="22" max="22" width="11" style="1" customWidth="1"/>
    <col min="23" max="23" width="10" style="1" customWidth="1"/>
    <col min="24" max="24" width="10.42578125" style="1" customWidth="1"/>
    <col min="25" max="237" width="9.140625" style="1"/>
    <col min="238" max="238" width="5.28515625" style="1" customWidth="1"/>
    <col min="239" max="239" width="7.42578125" style="1" customWidth="1"/>
    <col min="240" max="240" width="17.5703125" style="1" customWidth="1"/>
    <col min="241" max="241" width="24" style="1" customWidth="1"/>
    <col min="242" max="242" width="22.140625" style="1" customWidth="1"/>
    <col min="243" max="243" width="20.140625" style="1" customWidth="1"/>
    <col min="244" max="244" width="39.7109375" style="1" customWidth="1"/>
    <col min="245" max="245" width="10.5703125" style="1" customWidth="1"/>
    <col min="246" max="246" width="15.28515625" style="1" customWidth="1"/>
    <col min="247" max="247" width="12.85546875" style="1" customWidth="1"/>
    <col min="248" max="248" width="13.140625" style="1" customWidth="1"/>
    <col min="249" max="249" width="17.5703125" style="1" customWidth="1"/>
    <col min="250" max="250" width="14.42578125" style="1" customWidth="1"/>
    <col min="251" max="251" width="15.7109375" style="1" customWidth="1"/>
    <col min="252" max="252" width="15.85546875" style="1" customWidth="1"/>
    <col min="253" max="253" width="15" style="1" customWidth="1"/>
    <col min="254" max="254" width="14.42578125" style="1" customWidth="1"/>
    <col min="255" max="255" width="10.85546875" style="1" customWidth="1"/>
    <col min="256" max="256" width="11.140625" style="1" customWidth="1"/>
    <col min="257" max="257" width="14.7109375" style="1" customWidth="1"/>
    <col min="258" max="258" width="15.28515625" style="1" customWidth="1"/>
    <col min="259" max="260" width="13.85546875" style="1" customWidth="1"/>
    <col min="261" max="261" width="13.28515625" style="1" customWidth="1"/>
    <col min="262" max="262" width="13.7109375" style="1" customWidth="1"/>
    <col min="263" max="493" width="9.140625" style="1"/>
    <col min="494" max="494" width="5.28515625" style="1" customWidth="1"/>
    <col min="495" max="495" width="7.42578125" style="1" customWidth="1"/>
    <col min="496" max="496" width="17.5703125" style="1" customWidth="1"/>
    <col min="497" max="497" width="24" style="1" customWidth="1"/>
    <col min="498" max="498" width="22.140625" style="1" customWidth="1"/>
    <col min="499" max="499" width="20.140625" style="1" customWidth="1"/>
    <col min="500" max="500" width="39.7109375" style="1" customWidth="1"/>
    <col min="501" max="501" width="10.5703125" style="1" customWidth="1"/>
    <col min="502" max="502" width="15.28515625" style="1" customWidth="1"/>
    <col min="503" max="503" width="12.85546875" style="1" customWidth="1"/>
    <col min="504" max="504" width="13.140625" style="1" customWidth="1"/>
    <col min="505" max="505" width="17.5703125" style="1" customWidth="1"/>
    <col min="506" max="506" width="14.42578125" style="1" customWidth="1"/>
    <col min="507" max="507" width="15.7109375" style="1" customWidth="1"/>
    <col min="508" max="508" width="15.85546875" style="1" customWidth="1"/>
    <col min="509" max="509" width="15" style="1" customWidth="1"/>
    <col min="510" max="510" width="14.42578125" style="1" customWidth="1"/>
    <col min="511" max="511" width="10.85546875" style="1" customWidth="1"/>
    <col min="512" max="512" width="11.140625" style="1" customWidth="1"/>
    <col min="513" max="513" width="14.7109375" style="1" customWidth="1"/>
    <col min="514" max="514" width="15.28515625" style="1" customWidth="1"/>
    <col min="515" max="516" width="13.85546875" style="1" customWidth="1"/>
    <col min="517" max="517" width="13.28515625" style="1" customWidth="1"/>
    <col min="518" max="518" width="13.7109375" style="1" customWidth="1"/>
    <col min="519" max="749" width="9.140625" style="1"/>
    <col min="750" max="750" width="5.28515625" style="1" customWidth="1"/>
    <col min="751" max="751" width="7.42578125" style="1" customWidth="1"/>
    <col min="752" max="752" width="17.5703125" style="1" customWidth="1"/>
    <col min="753" max="753" width="24" style="1" customWidth="1"/>
    <col min="754" max="754" width="22.140625" style="1" customWidth="1"/>
    <col min="755" max="755" width="20.140625" style="1" customWidth="1"/>
    <col min="756" max="756" width="39.7109375" style="1" customWidth="1"/>
    <col min="757" max="757" width="10.5703125" style="1" customWidth="1"/>
    <col min="758" max="758" width="15.28515625" style="1" customWidth="1"/>
    <col min="759" max="759" width="12.85546875" style="1" customWidth="1"/>
    <col min="760" max="760" width="13.140625" style="1" customWidth="1"/>
    <col min="761" max="761" width="17.5703125" style="1" customWidth="1"/>
    <col min="762" max="762" width="14.42578125" style="1" customWidth="1"/>
    <col min="763" max="763" width="15.7109375" style="1" customWidth="1"/>
    <col min="764" max="764" width="15.85546875" style="1" customWidth="1"/>
    <col min="765" max="765" width="15" style="1" customWidth="1"/>
    <col min="766" max="766" width="14.42578125" style="1" customWidth="1"/>
    <col min="767" max="767" width="10.85546875" style="1" customWidth="1"/>
    <col min="768" max="768" width="11.140625" style="1" customWidth="1"/>
    <col min="769" max="769" width="14.7109375" style="1" customWidth="1"/>
    <col min="770" max="770" width="15.28515625" style="1" customWidth="1"/>
    <col min="771" max="772" width="13.85546875" style="1" customWidth="1"/>
    <col min="773" max="773" width="13.28515625" style="1" customWidth="1"/>
    <col min="774" max="774" width="13.7109375" style="1" customWidth="1"/>
    <col min="775" max="1005" width="9.140625" style="1"/>
    <col min="1006" max="1006" width="5.28515625" style="1" customWidth="1"/>
    <col min="1007" max="1007" width="7.42578125" style="1" customWidth="1"/>
    <col min="1008" max="1008" width="17.5703125" style="1" customWidth="1"/>
    <col min="1009" max="1009" width="24" style="1" customWidth="1"/>
    <col min="1010" max="1010" width="22.140625" style="1" customWidth="1"/>
    <col min="1011" max="1011" width="20.140625" style="1" customWidth="1"/>
    <col min="1012" max="1012" width="39.7109375" style="1" customWidth="1"/>
    <col min="1013" max="1013" width="10.5703125" style="1" customWidth="1"/>
    <col min="1014" max="1014" width="15.28515625" style="1" customWidth="1"/>
    <col min="1015" max="1015" width="12.85546875" style="1" customWidth="1"/>
    <col min="1016" max="1016" width="13.140625" style="1" customWidth="1"/>
    <col min="1017" max="1017" width="17.5703125" style="1" customWidth="1"/>
    <col min="1018" max="1018" width="14.42578125" style="1" customWidth="1"/>
    <col min="1019" max="1019" width="15.7109375" style="1" customWidth="1"/>
    <col min="1020" max="1020" width="15.85546875" style="1" customWidth="1"/>
    <col min="1021" max="1021" width="15" style="1" customWidth="1"/>
    <col min="1022" max="1022" width="14.42578125" style="1" customWidth="1"/>
    <col min="1023" max="1023" width="10.85546875" style="1" customWidth="1"/>
    <col min="1024" max="1024" width="11.140625" style="1" customWidth="1"/>
    <col min="1025" max="1025" width="14.7109375" style="1" customWidth="1"/>
    <col min="1026" max="1026" width="15.28515625" style="1" customWidth="1"/>
    <col min="1027" max="1028" width="13.85546875" style="1" customWidth="1"/>
    <col min="1029" max="1029" width="13.28515625" style="1" customWidth="1"/>
    <col min="1030" max="1030" width="13.7109375" style="1" customWidth="1"/>
    <col min="1031" max="1261" width="9.140625" style="1"/>
    <col min="1262" max="1262" width="5.28515625" style="1" customWidth="1"/>
    <col min="1263" max="1263" width="7.42578125" style="1" customWidth="1"/>
    <col min="1264" max="1264" width="17.5703125" style="1" customWidth="1"/>
    <col min="1265" max="1265" width="24" style="1" customWidth="1"/>
    <col min="1266" max="1266" width="22.140625" style="1" customWidth="1"/>
    <col min="1267" max="1267" width="20.140625" style="1" customWidth="1"/>
    <col min="1268" max="1268" width="39.7109375" style="1" customWidth="1"/>
    <col min="1269" max="1269" width="10.5703125" style="1" customWidth="1"/>
    <col min="1270" max="1270" width="15.28515625" style="1" customWidth="1"/>
    <col min="1271" max="1271" width="12.85546875" style="1" customWidth="1"/>
    <col min="1272" max="1272" width="13.140625" style="1" customWidth="1"/>
    <col min="1273" max="1273" width="17.5703125" style="1" customWidth="1"/>
    <col min="1274" max="1274" width="14.42578125" style="1" customWidth="1"/>
    <col min="1275" max="1275" width="15.7109375" style="1" customWidth="1"/>
    <col min="1276" max="1276" width="15.85546875" style="1" customWidth="1"/>
    <col min="1277" max="1277" width="15" style="1" customWidth="1"/>
    <col min="1278" max="1278" width="14.42578125" style="1" customWidth="1"/>
    <col min="1279" max="1279" width="10.85546875" style="1" customWidth="1"/>
    <col min="1280" max="1280" width="11.140625" style="1" customWidth="1"/>
    <col min="1281" max="1281" width="14.7109375" style="1" customWidth="1"/>
    <col min="1282" max="1282" width="15.28515625" style="1" customWidth="1"/>
    <col min="1283" max="1284" width="13.85546875" style="1" customWidth="1"/>
    <col min="1285" max="1285" width="13.28515625" style="1" customWidth="1"/>
    <col min="1286" max="1286" width="13.7109375" style="1" customWidth="1"/>
    <col min="1287" max="1517" width="9.140625" style="1"/>
    <col min="1518" max="1518" width="5.28515625" style="1" customWidth="1"/>
    <col min="1519" max="1519" width="7.42578125" style="1" customWidth="1"/>
    <col min="1520" max="1520" width="17.5703125" style="1" customWidth="1"/>
    <col min="1521" max="1521" width="24" style="1" customWidth="1"/>
    <col min="1522" max="1522" width="22.140625" style="1" customWidth="1"/>
    <col min="1523" max="1523" width="20.140625" style="1" customWidth="1"/>
    <col min="1524" max="1524" width="39.7109375" style="1" customWidth="1"/>
    <col min="1525" max="1525" width="10.5703125" style="1" customWidth="1"/>
    <col min="1526" max="1526" width="15.28515625" style="1" customWidth="1"/>
    <col min="1527" max="1527" width="12.85546875" style="1" customWidth="1"/>
    <col min="1528" max="1528" width="13.140625" style="1" customWidth="1"/>
    <col min="1529" max="1529" width="17.5703125" style="1" customWidth="1"/>
    <col min="1530" max="1530" width="14.42578125" style="1" customWidth="1"/>
    <col min="1531" max="1531" width="15.7109375" style="1" customWidth="1"/>
    <col min="1532" max="1532" width="15.85546875" style="1" customWidth="1"/>
    <col min="1533" max="1533" width="15" style="1" customWidth="1"/>
    <col min="1534" max="1534" width="14.42578125" style="1" customWidth="1"/>
    <col min="1535" max="1535" width="10.85546875" style="1" customWidth="1"/>
    <col min="1536" max="1536" width="11.140625" style="1" customWidth="1"/>
    <col min="1537" max="1537" width="14.7109375" style="1" customWidth="1"/>
    <col min="1538" max="1538" width="15.28515625" style="1" customWidth="1"/>
    <col min="1539" max="1540" width="13.85546875" style="1" customWidth="1"/>
    <col min="1541" max="1541" width="13.28515625" style="1" customWidth="1"/>
    <col min="1542" max="1542" width="13.7109375" style="1" customWidth="1"/>
    <col min="1543" max="1773" width="9.140625" style="1"/>
    <col min="1774" max="1774" width="5.28515625" style="1" customWidth="1"/>
    <col min="1775" max="1775" width="7.42578125" style="1" customWidth="1"/>
    <col min="1776" max="1776" width="17.5703125" style="1" customWidth="1"/>
    <col min="1777" max="1777" width="24" style="1" customWidth="1"/>
    <col min="1778" max="1778" width="22.140625" style="1" customWidth="1"/>
    <col min="1779" max="1779" width="20.140625" style="1" customWidth="1"/>
    <col min="1780" max="1780" width="39.7109375" style="1" customWidth="1"/>
    <col min="1781" max="1781" width="10.5703125" style="1" customWidth="1"/>
    <col min="1782" max="1782" width="15.28515625" style="1" customWidth="1"/>
    <col min="1783" max="1783" width="12.85546875" style="1" customWidth="1"/>
    <col min="1784" max="1784" width="13.140625" style="1" customWidth="1"/>
    <col min="1785" max="1785" width="17.5703125" style="1" customWidth="1"/>
    <col min="1786" max="1786" width="14.42578125" style="1" customWidth="1"/>
    <col min="1787" max="1787" width="15.7109375" style="1" customWidth="1"/>
    <col min="1788" max="1788" width="15.85546875" style="1" customWidth="1"/>
    <col min="1789" max="1789" width="15" style="1" customWidth="1"/>
    <col min="1790" max="1790" width="14.42578125" style="1" customWidth="1"/>
    <col min="1791" max="1791" width="10.85546875" style="1" customWidth="1"/>
    <col min="1792" max="1792" width="11.140625" style="1" customWidth="1"/>
    <col min="1793" max="1793" width="14.7109375" style="1" customWidth="1"/>
    <col min="1794" max="1794" width="15.28515625" style="1" customWidth="1"/>
    <col min="1795" max="1796" width="13.85546875" style="1" customWidth="1"/>
    <col min="1797" max="1797" width="13.28515625" style="1" customWidth="1"/>
    <col min="1798" max="1798" width="13.7109375" style="1" customWidth="1"/>
    <col min="1799" max="2029" width="9.140625" style="1"/>
    <col min="2030" max="2030" width="5.28515625" style="1" customWidth="1"/>
    <col min="2031" max="2031" width="7.42578125" style="1" customWidth="1"/>
    <col min="2032" max="2032" width="17.5703125" style="1" customWidth="1"/>
    <col min="2033" max="2033" width="24" style="1" customWidth="1"/>
    <col min="2034" max="2034" width="22.140625" style="1" customWidth="1"/>
    <col min="2035" max="2035" width="20.140625" style="1" customWidth="1"/>
    <col min="2036" max="2036" width="39.7109375" style="1" customWidth="1"/>
    <col min="2037" max="2037" width="10.5703125" style="1" customWidth="1"/>
    <col min="2038" max="2038" width="15.28515625" style="1" customWidth="1"/>
    <col min="2039" max="2039" width="12.85546875" style="1" customWidth="1"/>
    <col min="2040" max="2040" width="13.140625" style="1" customWidth="1"/>
    <col min="2041" max="2041" width="17.5703125" style="1" customWidth="1"/>
    <col min="2042" max="2042" width="14.42578125" style="1" customWidth="1"/>
    <col min="2043" max="2043" width="15.7109375" style="1" customWidth="1"/>
    <col min="2044" max="2044" width="15.85546875" style="1" customWidth="1"/>
    <col min="2045" max="2045" width="15" style="1" customWidth="1"/>
    <col min="2046" max="2046" width="14.42578125" style="1" customWidth="1"/>
    <col min="2047" max="2047" width="10.85546875" style="1" customWidth="1"/>
    <col min="2048" max="2048" width="11.140625" style="1" customWidth="1"/>
    <col min="2049" max="2049" width="14.7109375" style="1" customWidth="1"/>
    <col min="2050" max="2050" width="15.28515625" style="1" customWidth="1"/>
    <col min="2051" max="2052" width="13.85546875" style="1" customWidth="1"/>
    <col min="2053" max="2053" width="13.28515625" style="1" customWidth="1"/>
    <col min="2054" max="2054" width="13.7109375" style="1" customWidth="1"/>
    <col min="2055" max="2285" width="9.140625" style="1"/>
    <col min="2286" max="2286" width="5.28515625" style="1" customWidth="1"/>
    <col min="2287" max="2287" width="7.42578125" style="1" customWidth="1"/>
    <col min="2288" max="2288" width="17.5703125" style="1" customWidth="1"/>
    <col min="2289" max="2289" width="24" style="1" customWidth="1"/>
    <col min="2290" max="2290" width="22.140625" style="1" customWidth="1"/>
    <col min="2291" max="2291" width="20.140625" style="1" customWidth="1"/>
    <col min="2292" max="2292" width="39.7109375" style="1" customWidth="1"/>
    <col min="2293" max="2293" width="10.5703125" style="1" customWidth="1"/>
    <col min="2294" max="2294" width="15.28515625" style="1" customWidth="1"/>
    <col min="2295" max="2295" width="12.85546875" style="1" customWidth="1"/>
    <col min="2296" max="2296" width="13.140625" style="1" customWidth="1"/>
    <col min="2297" max="2297" width="17.5703125" style="1" customWidth="1"/>
    <col min="2298" max="2298" width="14.42578125" style="1" customWidth="1"/>
    <col min="2299" max="2299" width="15.7109375" style="1" customWidth="1"/>
    <col min="2300" max="2300" width="15.85546875" style="1" customWidth="1"/>
    <col min="2301" max="2301" width="15" style="1" customWidth="1"/>
    <col min="2302" max="2302" width="14.42578125" style="1" customWidth="1"/>
    <col min="2303" max="2303" width="10.85546875" style="1" customWidth="1"/>
    <col min="2304" max="2304" width="11.140625" style="1" customWidth="1"/>
    <col min="2305" max="2305" width="14.7109375" style="1" customWidth="1"/>
    <col min="2306" max="2306" width="15.28515625" style="1" customWidth="1"/>
    <col min="2307" max="2308" width="13.85546875" style="1" customWidth="1"/>
    <col min="2309" max="2309" width="13.28515625" style="1" customWidth="1"/>
    <col min="2310" max="2310" width="13.7109375" style="1" customWidth="1"/>
    <col min="2311" max="2541" width="9.140625" style="1"/>
    <col min="2542" max="2542" width="5.28515625" style="1" customWidth="1"/>
    <col min="2543" max="2543" width="7.42578125" style="1" customWidth="1"/>
    <col min="2544" max="2544" width="17.5703125" style="1" customWidth="1"/>
    <col min="2545" max="2545" width="24" style="1" customWidth="1"/>
    <col min="2546" max="2546" width="22.140625" style="1" customWidth="1"/>
    <col min="2547" max="2547" width="20.140625" style="1" customWidth="1"/>
    <col min="2548" max="2548" width="39.7109375" style="1" customWidth="1"/>
    <col min="2549" max="2549" width="10.5703125" style="1" customWidth="1"/>
    <col min="2550" max="2550" width="15.28515625" style="1" customWidth="1"/>
    <col min="2551" max="2551" width="12.85546875" style="1" customWidth="1"/>
    <col min="2552" max="2552" width="13.140625" style="1" customWidth="1"/>
    <col min="2553" max="2553" width="17.5703125" style="1" customWidth="1"/>
    <col min="2554" max="2554" width="14.42578125" style="1" customWidth="1"/>
    <col min="2555" max="2555" width="15.7109375" style="1" customWidth="1"/>
    <col min="2556" max="2556" width="15.85546875" style="1" customWidth="1"/>
    <col min="2557" max="2557" width="15" style="1" customWidth="1"/>
    <col min="2558" max="2558" width="14.42578125" style="1" customWidth="1"/>
    <col min="2559" max="2559" width="10.85546875" style="1" customWidth="1"/>
    <col min="2560" max="2560" width="11.140625" style="1" customWidth="1"/>
    <col min="2561" max="2561" width="14.7109375" style="1" customWidth="1"/>
    <col min="2562" max="2562" width="15.28515625" style="1" customWidth="1"/>
    <col min="2563" max="2564" width="13.85546875" style="1" customWidth="1"/>
    <col min="2565" max="2565" width="13.28515625" style="1" customWidth="1"/>
    <col min="2566" max="2566" width="13.7109375" style="1" customWidth="1"/>
    <col min="2567" max="2797" width="9.140625" style="1"/>
    <col min="2798" max="2798" width="5.28515625" style="1" customWidth="1"/>
    <col min="2799" max="2799" width="7.42578125" style="1" customWidth="1"/>
    <col min="2800" max="2800" width="17.5703125" style="1" customWidth="1"/>
    <col min="2801" max="2801" width="24" style="1" customWidth="1"/>
    <col min="2802" max="2802" width="22.140625" style="1" customWidth="1"/>
    <col min="2803" max="2803" width="20.140625" style="1" customWidth="1"/>
    <col min="2804" max="2804" width="39.7109375" style="1" customWidth="1"/>
    <col min="2805" max="2805" width="10.5703125" style="1" customWidth="1"/>
    <col min="2806" max="2806" width="15.28515625" style="1" customWidth="1"/>
    <col min="2807" max="2807" width="12.85546875" style="1" customWidth="1"/>
    <col min="2808" max="2808" width="13.140625" style="1" customWidth="1"/>
    <col min="2809" max="2809" width="17.5703125" style="1" customWidth="1"/>
    <col min="2810" max="2810" width="14.42578125" style="1" customWidth="1"/>
    <col min="2811" max="2811" width="15.7109375" style="1" customWidth="1"/>
    <col min="2812" max="2812" width="15.85546875" style="1" customWidth="1"/>
    <col min="2813" max="2813" width="15" style="1" customWidth="1"/>
    <col min="2814" max="2814" width="14.42578125" style="1" customWidth="1"/>
    <col min="2815" max="2815" width="10.85546875" style="1" customWidth="1"/>
    <col min="2816" max="2816" width="11.140625" style="1" customWidth="1"/>
    <col min="2817" max="2817" width="14.7109375" style="1" customWidth="1"/>
    <col min="2818" max="2818" width="15.28515625" style="1" customWidth="1"/>
    <col min="2819" max="2820" width="13.85546875" style="1" customWidth="1"/>
    <col min="2821" max="2821" width="13.28515625" style="1" customWidth="1"/>
    <col min="2822" max="2822" width="13.7109375" style="1" customWidth="1"/>
    <col min="2823" max="3053" width="9.140625" style="1"/>
    <col min="3054" max="3054" width="5.28515625" style="1" customWidth="1"/>
    <col min="3055" max="3055" width="7.42578125" style="1" customWidth="1"/>
    <col min="3056" max="3056" width="17.5703125" style="1" customWidth="1"/>
    <col min="3057" max="3057" width="24" style="1" customWidth="1"/>
    <col min="3058" max="3058" width="22.140625" style="1" customWidth="1"/>
    <col min="3059" max="3059" width="20.140625" style="1" customWidth="1"/>
    <col min="3060" max="3060" width="39.7109375" style="1" customWidth="1"/>
    <col min="3061" max="3061" width="10.5703125" style="1" customWidth="1"/>
    <col min="3062" max="3062" width="15.28515625" style="1" customWidth="1"/>
    <col min="3063" max="3063" width="12.85546875" style="1" customWidth="1"/>
    <col min="3064" max="3064" width="13.140625" style="1" customWidth="1"/>
    <col min="3065" max="3065" width="17.5703125" style="1" customWidth="1"/>
    <col min="3066" max="3066" width="14.42578125" style="1" customWidth="1"/>
    <col min="3067" max="3067" width="15.7109375" style="1" customWidth="1"/>
    <col min="3068" max="3068" width="15.85546875" style="1" customWidth="1"/>
    <col min="3069" max="3069" width="15" style="1" customWidth="1"/>
    <col min="3070" max="3070" width="14.42578125" style="1" customWidth="1"/>
    <col min="3071" max="3071" width="10.85546875" style="1" customWidth="1"/>
    <col min="3072" max="3072" width="11.140625" style="1" customWidth="1"/>
    <col min="3073" max="3073" width="14.7109375" style="1" customWidth="1"/>
    <col min="3074" max="3074" width="15.28515625" style="1" customWidth="1"/>
    <col min="3075" max="3076" width="13.85546875" style="1" customWidth="1"/>
    <col min="3077" max="3077" width="13.28515625" style="1" customWidth="1"/>
    <col min="3078" max="3078" width="13.7109375" style="1" customWidth="1"/>
    <col min="3079" max="3309" width="9.140625" style="1"/>
    <col min="3310" max="3310" width="5.28515625" style="1" customWidth="1"/>
    <col min="3311" max="3311" width="7.42578125" style="1" customWidth="1"/>
    <col min="3312" max="3312" width="17.5703125" style="1" customWidth="1"/>
    <col min="3313" max="3313" width="24" style="1" customWidth="1"/>
    <col min="3314" max="3314" width="22.140625" style="1" customWidth="1"/>
    <col min="3315" max="3315" width="20.140625" style="1" customWidth="1"/>
    <col min="3316" max="3316" width="39.7109375" style="1" customWidth="1"/>
    <col min="3317" max="3317" width="10.5703125" style="1" customWidth="1"/>
    <col min="3318" max="3318" width="15.28515625" style="1" customWidth="1"/>
    <col min="3319" max="3319" width="12.85546875" style="1" customWidth="1"/>
    <col min="3320" max="3320" width="13.140625" style="1" customWidth="1"/>
    <col min="3321" max="3321" width="17.5703125" style="1" customWidth="1"/>
    <col min="3322" max="3322" width="14.42578125" style="1" customWidth="1"/>
    <col min="3323" max="3323" width="15.7109375" style="1" customWidth="1"/>
    <col min="3324" max="3324" width="15.85546875" style="1" customWidth="1"/>
    <col min="3325" max="3325" width="15" style="1" customWidth="1"/>
    <col min="3326" max="3326" width="14.42578125" style="1" customWidth="1"/>
    <col min="3327" max="3327" width="10.85546875" style="1" customWidth="1"/>
    <col min="3328" max="3328" width="11.140625" style="1" customWidth="1"/>
    <col min="3329" max="3329" width="14.7109375" style="1" customWidth="1"/>
    <col min="3330" max="3330" width="15.28515625" style="1" customWidth="1"/>
    <col min="3331" max="3332" width="13.85546875" style="1" customWidth="1"/>
    <col min="3333" max="3333" width="13.28515625" style="1" customWidth="1"/>
    <col min="3334" max="3334" width="13.7109375" style="1" customWidth="1"/>
    <col min="3335" max="3565" width="9.140625" style="1"/>
    <col min="3566" max="3566" width="5.28515625" style="1" customWidth="1"/>
    <col min="3567" max="3567" width="7.42578125" style="1" customWidth="1"/>
    <col min="3568" max="3568" width="17.5703125" style="1" customWidth="1"/>
    <col min="3569" max="3569" width="24" style="1" customWidth="1"/>
    <col min="3570" max="3570" width="22.140625" style="1" customWidth="1"/>
    <col min="3571" max="3571" width="20.140625" style="1" customWidth="1"/>
    <col min="3572" max="3572" width="39.7109375" style="1" customWidth="1"/>
    <col min="3573" max="3573" width="10.5703125" style="1" customWidth="1"/>
    <col min="3574" max="3574" width="15.28515625" style="1" customWidth="1"/>
    <col min="3575" max="3575" width="12.85546875" style="1" customWidth="1"/>
    <col min="3576" max="3576" width="13.140625" style="1" customWidth="1"/>
    <col min="3577" max="3577" width="17.5703125" style="1" customWidth="1"/>
    <col min="3578" max="3578" width="14.42578125" style="1" customWidth="1"/>
    <col min="3579" max="3579" width="15.7109375" style="1" customWidth="1"/>
    <col min="3580" max="3580" width="15.85546875" style="1" customWidth="1"/>
    <col min="3581" max="3581" width="15" style="1" customWidth="1"/>
    <col min="3582" max="3582" width="14.42578125" style="1" customWidth="1"/>
    <col min="3583" max="3583" width="10.85546875" style="1" customWidth="1"/>
    <col min="3584" max="3584" width="11.140625" style="1" customWidth="1"/>
    <col min="3585" max="3585" width="14.7109375" style="1" customWidth="1"/>
    <col min="3586" max="3586" width="15.28515625" style="1" customWidth="1"/>
    <col min="3587" max="3588" width="13.85546875" style="1" customWidth="1"/>
    <col min="3589" max="3589" width="13.28515625" style="1" customWidth="1"/>
    <col min="3590" max="3590" width="13.7109375" style="1" customWidth="1"/>
    <col min="3591" max="3821" width="9.140625" style="1"/>
    <col min="3822" max="3822" width="5.28515625" style="1" customWidth="1"/>
    <col min="3823" max="3823" width="7.42578125" style="1" customWidth="1"/>
    <col min="3824" max="3824" width="17.5703125" style="1" customWidth="1"/>
    <col min="3825" max="3825" width="24" style="1" customWidth="1"/>
    <col min="3826" max="3826" width="22.140625" style="1" customWidth="1"/>
    <col min="3827" max="3827" width="20.140625" style="1" customWidth="1"/>
    <col min="3828" max="3828" width="39.7109375" style="1" customWidth="1"/>
    <col min="3829" max="3829" width="10.5703125" style="1" customWidth="1"/>
    <col min="3830" max="3830" width="15.28515625" style="1" customWidth="1"/>
    <col min="3831" max="3831" width="12.85546875" style="1" customWidth="1"/>
    <col min="3832" max="3832" width="13.140625" style="1" customWidth="1"/>
    <col min="3833" max="3833" width="17.5703125" style="1" customWidth="1"/>
    <col min="3834" max="3834" width="14.42578125" style="1" customWidth="1"/>
    <col min="3835" max="3835" width="15.7109375" style="1" customWidth="1"/>
    <col min="3836" max="3836" width="15.85546875" style="1" customWidth="1"/>
    <col min="3837" max="3837" width="15" style="1" customWidth="1"/>
    <col min="3838" max="3838" width="14.42578125" style="1" customWidth="1"/>
    <col min="3839" max="3839" width="10.85546875" style="1" customWidth="1"/>
    <col min="3840" max="3840" width="11.140625" style="1" customWidth="1"/>
    <col min="3841" max="3841" width="14.7109375" style="1" customWidth="1"/>
    <col min="3842" max="3842" width="15.28515625" style="1" customWidth="1"/>
    <col min="3843" max="3844" width="13.85546875" style="1" customWidth="1"/>
    <col min="3845" max="3845" width="13.28515625" style="1" customWidth="1"/>
    <col min="3846" max="3846" width="13.7109375" style="1" customWidth="1"/>
    <col min="3847" max="4077" width="9.140625" style="1"/>
    <col min="4078" max="4078" width="5.28515625" style="1" customWidth="1"/>
    <col min="4079" max="4079" width="7.42578125" style="1" customWidth="1"/>
    <col min="4080" max="4080" width="17.5703125" style="1" customWidth="1"/>
    <col min="4081" max="4081" width="24" style="1" customWidth="1"/>
    <col min="4082" max="4082" width="22.140625" style="1" customWidth="1"/>
    <col min="4083" max="4083" width="20.140625" style="1" customWidth="1"/>
    <col min="4084" max="4084" width="39.7109375" style="1" customWidth="1"/>
    <col min="4085" max="4085" width="10.5703125" style="1" customWidth="1"/>
    <col min="4086" max="4086" width="15.28515625" style="1" customWidth="1"/>
    <col min="4087" max="4087" width="12.85546875" style="1" customWidth="1"/>
    <col min="4088" max="4088" width="13.140625" style="1" customWidth="1"/>
    <col min="4089" max="4089" width="17.5703125" style="1" customWidth="1"/>
    <col min="4090" max="4090" width="14.42578125" style="1" customWidth="1"/>
    <col min="4091" max="4091" width="15.7109375" style="1" customWidth="1"/>
    <col min="4092" max="4092" width="15.85546875" style="1" customWidth="1"/>
    <col min="4093" max="4093" width="15" style="1" customWidth="1"/>
    <col min="4094" max="4094" width="14.42578125" style="1" customWidth="1"/>
    <col min="4095" max="4095" width="10.85546875" style="1" customWidth="1"/>
    <col min="4096" max="4096" width="11.140625" style="1" customWidth="1"/>
    <col min="4097" max="4097" width="14.7109375" style="1" customWidth="1"/>
    <col min="4098" max="4098" width="15.28515625" style="1" customWidth="1"/>
    <col min="4099" max="4100" width="13.85546875" style="1" customWidth="1"/>
    <col min="4101" max="4101" width="13.28515625" style="1" customWidth="1"/>
    <col min="4102" max="4102" width="13.7109375" style="1" customWidth="1"/>
    <col min="4103" max="4333" width="9.140625" style="1"/>
    <col min="4334" max="4334" width="5.28515625" style="1" customWidth="1"/>
    <col min="4335" max="4335" width="7.42578125" style="1" customWidth="1"/>
    <col min="4336" max="4336" width="17.5703125" style="1" customWidth="1"/>
    <col min="4337" max="4337" width="24" style="1" customWidth="1"/>
    <col min="4338" max="4338" width="22.140625" style="1" customWidth="1"/>
    <col min="4339" max="4339" width="20.140625" style="1" customWidth="1"/>
    <col min="4340" max="4340" width="39.7109375" style="1" customWidth="1"/>
    <col min="4341" max="4341" width="10.5703125" style="1" customWidth="1"/>
    <col min="4342" max="4342" width="15.28515625" style="1" customWidth="1"/>
    <col min="4343" max="4343" width="12.85546875" style="1" customWidth="1"/>
    <col min="4344" max="4344" width="13.140625" style="1" customWidth="1"/>
    <col min="4345" max="4345" width="17.5703125" style="1" customWidth="1"/>
    <col min="4346" max="4346" width="14.42578125" style="1" customWidth="1"/>
    <col min="4347" max="4347" width="15.7109375" style="1" customWidth="1"/>
    <col min="4348" max="4348" width="15.85546875" style="1" customWidth="1"/>
    <col min="4349" max="4349" width="15" style="1" customWidth="1"/>
    <col min="4350" max="4350" width="14.42578125" style="1" customWidth="1"/>
    <col min="4351" max="4351" width="10.85546875" style="1" customWidth="1"/>
    <col min="4352" max="4352" width="11.140625" style="1" customWidth="1"/>
    <col min="4353" max="4353" width="14.7109375" style="1" customWidth="1"/>
    <col min="4354" max="4354" width="15.28515625" style="1" customWidth="1"/>
    <col min="4355" max="4356" width="13.85546875" style="1" customWidth="1"/>
    <col min="4357" max="4357" width="13.28515625" style="1" customWidth="1"/>
    <col min="4358" max="4358" width="13.7109375" style="1" customWidth="1"/>
    <col min="4359" max="4589" width="9.140625" style="1"/>
    <col min="4590" max="4590" width="5.28515625" style="1" customWidth="1"/>
    <col min="4591" max="4591" width="7.42578125" style="1" customWidth="1"/>
    <col min="4592" max="4592" width="17.5703125" style="1" customWidth="1"/>
    <col min="4593" max="4593" width="24" style="1" customWidth="1"/>
    <col min="4594" max="4594" width="22.140625" style="1" customWidth="1"/>
    <col min="4595" max="4595" width="20.140625" style="1" customWidth="1"/>
    <col min="4596" max="4596" width="39.7109375" style="1" customWidth="1"/>
    <col min="4597" max="4597" width="10.5703125" style="1" customWidth="1"/>
    <col min="4598" max="4598" width="15.28515625" style="1" customWidth="1"/>
    <col min="4599" max="4599" width="12.85546875" style="1" customWidth="1"/>
    <col min="4600" max="4600" width="13.140625" style="1" customWidth="1"/>
    <col min="4601" max="4601" width="17.5703125" style="1" customWidth="1"/>
    <col min="4602" max="4602" width="14.42578125" style="1" customWidth="1"/>
    <col min="4603" max="4603" width="15.7109375" style="1" customWidth="1"/>
    <col min="4604" max="4604" width="15.85546875" style="1" customWidth="1"/>
    <col min="4605" max="4605" width="15" style="1" customWidth="1"/>
    <col min="4606" max="4606" width="14.42578125" style="1" customWidth="1"/>
    <col min="4607" max="4607" width="10.85546875" style="1" customWidth="1"/>
    <col min="4608" max="4608" width="11.140625" style="1" customWidth="1"/>
    <col min="4609" max="4609" width="14.7109375" style="1" customWidth="1"/>
    <col min="4610" max="4610" width="15.28515625" style="1" customWidth="1"/>
    <col min="4611" max="4612" width="13.85546875" style="1" customWidth="1"/>
    <col min="4613" max="4613" width="13.28515625" style="1" customWidth="1"/>
    <col min="4614" max="4614" width="13.7109375" style="1" customWidth="1"/>
    <col min="4615" max="4845" width="9.140625" style="1"/>
    <col min="4846" max="4846" width="5.28515625" style="1" customWidth="1"/>
    <col min="4847" max="4847" width="7.42578125" style="1" customWidth="1"/>
    <col min="4848" max="4848" width="17.5703125" style="1" customWidth="1"/>
    <col min="4849" max="4849" width="24" style="1" customWidth="1"/>
    <col min="4850" max="4850" width="22.140625" style="1" customWidth="1"/>
    <col min="4851" max="4851" width="20.140625" style="1" customWidth="1"/>
    <col min="4852" max="4852" width="39.7109375" style="1" customWidth="1"/>
    <col min="4853" max="4853" width="10.5703125" style="1" customWidth="1"/>
    <col min="4854" max="4854" width="15.28515625" style="1" customWidth="1"/>
    <col min="4855" max="4855" width="12.85546875" style="1" customWidth="1"/>
    <col min="4856" max="4856" width="13.140625" style="1" customWidth="1"/>
    <col min="4857" max="4857" width="17.5703125" style="1" customWidth="1"/>
    <col min="4858" max="4858" width="14.42578125" style="1" customWidth="1"/>
    <col min="4859" max="4859" width="15.7109375" style="1" customWidth="1"/>
    <col min="4860" max="4860" width="15.85546875" style="1" customWidth="1"/>
    <col min="4861" max="4861" width="15" style="1" customWidth="1"/>
    <col min="4862" max="4862" width="14.42578125" style="1" customWidth="1"/>
    <col min="4863" max="4863" width="10.85546875" style="1" customWidth="1"/>
    <col min="4864" max="4864" width="11.140625" style="1" customWidth="1"/>
    <col min="4865" max="4865" width="14.7109375" style="1" customWidth="1"/>
    <col min="4866" max="4866" width="15.28515625" style="1" customWidth="1"/>
    <col min="4867" max="4868" width="13.85546875" style="1" customWidth="1"/>
    <col min="4869" max="4869" width="13.28515625" style="1" customWidth="1"/>
    <col min="4870" max="4870" width="13.7109375" style="1" customWidth="1"/>
    <col min="4871" max="5101" width="9.140625" style="1"/>
    <col min="5102" max="5102" width="5.28515625" style="1" customWidth="1"/>
    <col min="5103" max="5103" width="7.42578125" style="1" customWidth="1"/>
    <col min="5104" max="5104" width="17.5703125" style="1" customWidth="1"/>
    <col min="5105" max="5105" width="24" style="1" customWidth="1"/>
    <col min="5106" max="5106" width="22.140625" style="1" customWidth="1"/>
    <col min="5107" max="5107" width="20.140625" style="1" customWidth="1"/>
    <col min="5108" max="5108" width="39.7109375" style="1" customWidth="1"/>
    <col min="5109" max="5109" width="10.5703125" style="1" customWidth="1"/>
    <col min="5110" max="5110" width="15.28515625" style="1" customWidth="1"/>
    <col min="5111" max="5111" width="12.85546875" style="1" customWidth="1"/>
    <col min="5112" max="5112" width="13.140625" style="1" customWidth="1"/>
    <col min="5113" max="5113" width="17.5703125" style="1" customWidth="1"/>
    <col min="5114" max="5114" width="14.42578125" style="1" customWidth="1"/>
    <col min="5115" max="5115" width="15.7109375" style="1" customWidth="1"/>
    <col min="5116" max="5116" width="15.85546875" style="1" customWidth="1"/>
    <col min="5117" max="5117" width="15" style="1" customWidth="1"/>
    <col min="5118" max="5118" width="14.42578125" style="1" customWidth="1"/>
    <col min="5119" max="5119" width="10.85546875" style="1" customWidth="1"/>
    <col min="5120" max="5120" width="11.140625" style="1" customWidth="1"/>
    <col min="5121" max="5121" width="14.7109375" style="1" customWidth="1"/>
    <col min="5122" max="5122" width="15.28515625" style="1" customWidth="1"/>
    <col min="5123" max="5124" width="13.85546875" style="1" customWidth="1"/>
    <col min="5125" max="5125" width="13.28515625" style="1" customWidth="1"/>
    <col min="5126" max="5126" width="13.7109375" style="1" customWidth="1"/>
    <col min="5127" max="5357" width="9.140625" style="1"/>
    <col min="5358" max="5358" width="5.28515625" style="1" customWidth="1"/>
    <col min="5359" max="5359" width="7.42578125" style="1" customWidth="1"/>
    <col min="5360" max="5360" width="17.5703125" style="1" customWidth="1"/>
    <col min="5361" max="5361" width="24" style="1" customWidth="1"/>
    <col min="5362" max="5362" width="22.140625" style="1" customWidth="1"/>
    <col min="5363" max="5363" width="20.140625" style="1" customWidth="1"/>
    <col min="5364" max="5364" width="39.7109375" style="1" customWidth="1"/>
    <col min="5365" max="5365" width="10.5703125" style="1" customWidth="1"/>
    <col min="5366" max="5366" width="15.28515625" style="1" customWidth="1"/>
    <col min="5367" max="5367" width="12.85546875" style="1" customWidth="1"/>
    <col min="5368" max="5368" width="13.140625" style="1" customWidth="1"/>
    <col min="5369" max="5369" width="17.5703125" style="1" customWidth="1"/>
    <col min="5370" max="5370" width="14.42578125" style="1" customWidth="1"/>
    <col min="5371" max="5371" width="15.7109375" style="1" customWidth="1"/>
    <col min="5372" max="5372" width="15.85546875" style="1" customWidth="1"/>
    <col min="5373" max="5373" width="15" style="1" customWidth="1"/>
    <col min="5374" max="5374" width="14.42578125" style="1" customWidth="1"/>
    <col min="5375" max="5375" width="10.85546875" style="1" customWidth="1"/>
    <col min="5376" max="5376" width="11.140625" style="1" customWidth="1"/>
    <col min="5377" max="5377" width="14.7109375" style="1" customWidth="1"/>
    <col min="5378" max="5378" width="15.28515625" style="1" customWidth="1"/>
    <col min="5379" max="5380" width="13.85546875" style="1" customWidth="1"/>
    <col min="5381" max="5381" width="13.28515625" style="1" customWidth="1"/>
    <col min="5382" max="5382" width="13.7109375" style="1" customWidth="1"/>
    <col min="5383" max="5613" width="9.140625" style="1"/>
    <col min="5614" max="5614" width="5.28515625" style="1" customWidth="1"/>
    <col min="5615" max="5615" width="7.42578125" style="1" customWidth="1"/>
    <col min="5616" max="5616" width="17.5703125" style="1" customWidth="1"/>
    <col min="5617" max="5617" width="24" style="1" customWidth="1"/>
    <col min="5618" max="5618" width="22.140625" style="1" customWidth="1"/>
    <col min="5619" max="5619" width="20.140625" style="1" customWidth="1"/>
    <col min="5620" max="5620" width="39.7109375" style="1" customWidth="1"/>
    <col min="5621" max="5621" width="10.5703125" style="1" customWidth="1"/>
    <col min="5622" max="5622" width="15.28515625" style="1" customWidth="1"/>
    <col min="5623" max="5623" width="12.85546875" style="1" customWidth="1"/>
    <col min="5624" max="5624" width="13.140625" style="1" customWidth="1"/>
    <col min="5625" max="5625" width="17.5703125" style="1" customWidth="1"/>
    <col min="5626" max="5626" width="14.42578125" style="1" customWidth="1"/>
    <col min="5627" max="5627" width="15.7109375" style="1" customWidth="1"/>
    <col min="5628" max="5628" width="15.85546875" style="1" customWidth="1"/>
    <col min="5629" max="5629" width="15" style="1" customWidth="1"/>
    <col min="5630" max="5630" width="14.42578125" style="1" customWidth="1"/>
    <col min="5631" max="5631" width="10.85546875" style="1" customWidth="1"/>
    <col min="5632" max="5632" width="11.140625" style="1" customWidth="1"/>
    <col min="5633" max="5633" width="14.7109375" style="1" customWidth="1"/>
    <col min="5634" max="5634" width="15.28515625" style="1" customWidth="1"/>
    <col min="5635" max="5636" width="13.85546875" style="1" customWidth="1"/>
    <col min="5637" max="5637" width="13.28515625" style="1" customWidth="1"/>
    <col min="5638" max="5638" width="13.7109375" style="1" customWidth="1"/>
    <col min="5639" max="5869" width="9.140625" style="1"/>
    <col min="5870" max="5870" width="5.28515625" style="1" customWidth="1"/>
    <col min="5871" max="5871" width="7.42578125" style="1" customWidth="1"/>
    <col min="5872" max="5872" width="17.5703125" style="1" customWidth="1"/>
    <col min="5873" max="5873" width="24" style="1" customWidth="1"/>
    <col min="5874" max="5874" width="22.140625" style="1" customWidth="1"/>
    <col min="5875" max="5875" width="20.140625" style="1" customWidth="1"/>
    <col min="5876" max="5876" width="39.7109375" style="1" customWidth="1"/>
    <col min="5877" max="5877" width="10.5703125" style="1" customWidth="1"/>
    <col min="5878" max="5878" width="15.28515625" style="1" customWidth="1"/>
    <col min="5879" max="5879" width="12.85546875" style="1" customWidth="1"/>
    <col min="5880" max="5880" width="13.140625" style="1" customWidth="1"/>
    <col min="5881" max="5881" width="17.5703125" style="1" customWidth="1"/>
    <col min="5882" max="5882" width="14.42578125" style="1" customWidth="1"/>
    <col min="5883" max="5883" width="15.7109375" style="1" customWidth="1"/>
    <col min="5884" max="5884" width="15.85546875" style="1" customWidth="1"/>
    <col min="5885" max="5885" width="15" style="1" customWidth="1"/>
    <col min="5886" max="5886" width="14.42578125" style="1" customWidth="1"/>
    <col min="5887" max="5887" width="10.85546875" style="1" customWidth="1"/>
    <col min="5888" max="5888" width="11.140625" style="1" customWidth="1"/>
    <col min="5889" max="5889" width="14.7109375" style="1" customWidth="1"/>
    <col min="5890" max="5890" width="15.28515625" style="1" customWidth="1"/>
    <col min="5891" max="5892" width="13.85546875" style="1" customWidth="1"/>
    <col min="5893" max="5893" width="13.28515625" style="1" customWidth="1"/>
    <col min="5894" max="5894" width="13.7109375" style="1" customWidth="1"/>
    <col min="5895" max="6125" width="9.140625" style="1"/>
    <col min="6126" max="6126" width="5.28515625" style="1" customWidth="1"/>
    <col min="6127" max="6127" width="7.42578125" style="1" customWidth="1"/>
    <col min="6128" max="6128" width="17.5703125" style="1" customWidth="1"/>
    <col min="6129" max="6129" width="24" style="1" customWidth="1"/>
    <col min="6130" max="6130" width="22.140625" style="1" customWidth="1"/>
    <col min="6131" max="6131" width="20.140625" style="1" customWidth="1"/>
    <col min="6132" max="6132" width="39.7109375" style="1" customWidth="1"/>
    <col min="6133" max="6133" width="10.5703125" style="1" customWidth="1"/>
    <col min="6134" max="6134" width="15.28515625" style="1" customWidth="1"/>
    <col min="6135" max="6135" width="12.85546875" style="1" customWidth="1"/>
    <col min="6136" max="6136" width="13.140625" style="1" customWidth="1"/>
    <col min="6137" max="6137" width="17.5703125" style="1" customWidth="1"/>
    <col min="6138" max="6138" width="14.42578125" style="1" customWidth="1"/>
    <col min="6139" max="6139" width="15.7109375" style="1" customWidth="1"/>
    <col min="6140" max="6140" width="15.85546875" style="1" customWidth="1"/>
    <col min="6141" max="6141" width="15" style="1" customWidth="1"/>
    <col min="6142" max="6142" width="14.42578125" style="1" customWidth="1"/>
    <col min="6143" max="6143" width="10.85546875" style="1" customWidth="1"/>
    <col min="6144" max="6144" width="11.140625" style="1" customWidth="1"/>
    <col min="6145" max="6145" width="14.7109375" style="1" customWidth="1"/>
    <col min="6146" max="6146" width="15.28515625" style="1" customWidth="1"/>
    <col min="6147" max="6148" width="13.85546875" style="1" customWidth="1"/>
    <col min="6149" max="6149" width="13.28515625" style="1" customWidth="1"/>
    <col min="6150" max="6150" width="13.7109375" style="1" customWidth="1"/>
    <col min="6151" max="6381" width="9.140625" style="1"/>
    <col min="6382" max="6382" width="5.28515625" style="1" customWidth="1"/>
    <col min="6383" max="6383" width="7.42578125" style="1" customWidth="1"/>
    <col min="6384" max="6384" width="17.5703125" style="1" customWidth="1"/>
    <col min="6385" max="6385" width="24" style="1" customWidth="1"/>
    <col min="6386" max="6386" width="22.140625" style="1" customWidth="1"/>
    <col min="6387" max="6387" width="20.140625" style="1" customWidth="1"/>
    <col min="6388" max="6388" width="39.7109375" style="1" customWidth="1"/>
    <col min="6389" max="6389" width="10.5703125" style="1" customWidth="1"/>
    <col min="6390" max="6390" width="15.28515625" style="1" customWidth="1"/>
    <col min="6391" max="6391" width="12.85546875" style="1" customWidth="1"/>
    <col min="6392" max="6392" width="13.140625" style="1" customWidth="1"/>
    <col min="6393" max="6393" width="17.5703125" style="1" customWidth="1"/>
    <col min="6394" max="6394" width="14.42578125" style="1" customWidth="1"/>
    <col min="6395" max="6395" width="15.7109375" style="1" customWidth="1"/>
    <col min="6396" max="6396" width="15.85546875" style="1" customWidth="1"/>
    <col min="6397" max="6397" width="15" style="1" customWidth="1"/>
    <col min="6398" max="6398" width="14.42578125" style="1" customWidth="1"/>
    <col min="6399" max="6399" width="10.85546875" style="1" customWidth="1"/>
    <col min="6400" max="6400" width="11.140625" style="1" customWidth="1"/>
    <col min="6401" max="6401" width="14.7109375" style="1" customWidth="1"/>
    <col min="6402" max="6402" width="15.28515625" style="1" customWidth="1"/>
    <col min="6403" max="6404" width="13.85546875" style="1" customWidth="1"/>
    <col min="6405" max="6405" width="13.28515625" style="1" customWidth="1"/>
    <col min="6406" max="6406" width="13.7109375" style="1" customWidth="1"/>
    <col min="6407" max="6637" width="9.140625" style="1"/>
    <col min="6638" max="6638" width="5.28515625" style="1" customWidth="1"/>
    <col min="6639" max="6639" width="7.42578125" style="1" customWidth="1"/>
    <col min="6640" max="6640" width="17.5703125" style="1" customWidth="1"/>
    <col min="6641" max="6641" width="24" style="1" customWidth="1"/>
    <col min="6642" max="6642" width="22.140625" style="1" customWidth="1"/>
    <col min="6643" max="6643" width="20.140625" style="1" customWidth="1"/>
    <col min="6644" max="6644" width="39.7109375" style="1" customWidth="1"/>
    <col min="6645" max="6645" width="10.5703125" style="1" customWidth="1"/>
    <col min="6646" max="6646" width="15.28515625" style="1" customWidth="1"/>
    <col min="6647" max="6647" width="12.85546875" style="1" customWidth="1"/>
    <col min="6648" max="6648" width="13.140625" style="1" customWidth="1"/>
    <col min="6649" max="6649" width="17.5703125" style="1" customWidth="1"/>
    <col min="6650" max="6650" width="14.42578125" style="1" customWidth="1"/>
    <col min="6651" max="6651" width="15.7109375" style="1" customWidth="1"/>
    <col min="6652" max="6652" width="15.85546875" style="1" customWidth="1"/>
    <col min="6653" max="6653" width="15" style="1" customWidth="1"/>
    <col min="6654" max="6654" width="14.42578125" style="1" customWidth="1"/>
    <col min="6655" max="6655" width="10.85546875" style="1" customWidth="1"/>
    <col min="6656" max="6656" width="11.140625" style="1" customWidth="1"/>
    <col min="6657" max="6657" width="14.7109375" style="1" customWidth="1"/>
    <col min="6658" max="6658" width="15.28515625" style="1" customWidth="1"/>
    <col min="6659" max="6660" width="13.85546875" style="1" customWidth="1"/>
    <col min="6661" max="6661" width="13.28515625" style="1" customWidth="1"/>
    <col min="6662" max="6662" width="13.7109375" style="1" customWidth="1"/>
    <col min="6663" max="6893" width="9.140625" style="1"/>
    <col min="6894" max="6894" width="5.28515625" style="1" customWidth="1"/>
    <col min="6895" max="6895" width="7.42578125" style="1" customWidth="1"/>
    <col min="6896" max="6896" width="17.5703125" style="1" customWidth="1"/>
    <col min="6897" max="6897" width="24" style="1" customWidth="1"/>
    <col min="6898" max="6898" width="22.140625" style="1" customWidth="1"/>
    <col min="6899" max="6899" width="20.140625" style="1" customWidth="1"/>
    <col min="6900" max="6900" width="39.7109375" style="1" customWidth="1"/>
    <col min="6901" max="6901" width="10.5703125" style="1" customWidth="1"/>
    <col min="6902" max="6902" width="15.28515625" style="1" customWidth="1"/>
    <col min="6903" max="6903" width="12.85546875" style="1" customWidth="1"/>
    <col min="6904" max="6904" width="13.140625" style="1" customWidth="1"/>
    <col min="6905" max="6905" width="17.5703125" style="1" customWidth="1"/>
    <col min="6906" max="6906" width="14.42578125" style="1" customWidth="1"/>
    <col min="6907" max="6907" width="15.7109375" style="1" customWidth="1"/>
    <col min="6908" max="6908" width="15.85546875" style="1" customWidth="1"/>
    <col min="6909" max="6909" width="15" style="1" customWidth="1"/>
    <col min="6910" max="6910" width="14.42578125" style="1" customWidth="1"/>
    <col min="6911" max="6911" width="10.85546875" style="1" customWidth="1"/>
    <col min="6912" max="6912" width="11.140625" style="1" customWidth="1"/>
    <col min="6913" max="6913" width="14.7109375" style="1" customWidth="1"/>
    <col min="6914" max="6914" width="15.28515625" style="1" customWidth="1"/>
    <col min="6915" max="6916" width="13.85546875" style="1" customWidth="1"/>
    <col min="6917" max="6917" width="13.28515625" style="1" customWidth="1"/>
    <col min="6918" max="6918" width="13.7109375" style="1" customWidth="1"/>
    <col min="6919" max="7149" width="9.140625" style="1"/>
    <col min="7150" max="7150" width="5.28515625" style="1" customWidth="1"/>
    <col min="7151" max="7151" width="7.42578125" style="1" customWidth="1"/>
    <col min="7152" max="7152" width="17.5703125" style="1" customWidth="1"/>
    <col min="7153" max="7153" width="24" style="1" customWidth="1"/>
    <col min="7154" max="7154" width="22.140625" style="1" customWidth="1"/>
    <col min="7155" max="7155" width="20.140625" style="1" customWidth="1"/>
    <col min="7156" max="7156" width="39.7109375" style="1" customWidth="1"/>
    <col min="7157" max="7157" width="10.5703125" style="1" customWidth="1"/>
    <col min="7158" max="7158" width="15.28515625" style="1" customWidth="1"/>
    <col min="7159" max="7159" width="12.85546875" style="1" customWidth="1"/>
    <col min="7160" max="7160" width="13.140625" style="1" customWidth="1"/>
    <col min="7161" max="7161" width="17.5703125" style="1" customWidth="1"/>
    <col min="7162" max="7162" width="14.42578125" style="1" customWidth="1"/>
    <col min="7163" max="7163" width="15.7109375" style="1" customWidth="1"/>
    <col min="7164" max="7164" width="15.85546875" style="1" customWidth="1"/>
    <col min="7165" max="7165" width="15" style="1" customWidth="1"/>
    <col min="7166" max="7166" width="14.42578125" style="1" customWidth="1"/>
    <col min="7167" max="7167" width="10.85546875" style="1" customWidth="1"/>
    <col min="7168" max="7168" width="11.140625" style="1" customWidth="1"/>
    <col min="7169" max="7169" width="14.7109375" style="1" customWidth="1"/>
    <col min="7170" max="7170" width="15.28515625" style="1" customWidth="1"/>
    <col min="7171" max="7172" width="13.85546875" style="1" customWidth="1"/>
    <col min="7173" max="7173" width="13.28515625" style="1" customWidth="1"/>
    <col min="7174" max="7174" width="13.7109375" style="1" customWidth="1"/>
    <col min="7175" max="7405" width="9.140625" style="1"/>
    <col min="7406" max="7406" width="5.28515625" style="1" customWidth="1"/>
    <col min="7407" max="7407" width="7.42578125" style="1" customWidth="1"/>
    <col min="7408" max="7408" width="17.5703125" style="1" customWidth="1"/>
    <col min="7409" max="7409" width="24" style="1" customWidth="1"/>
    <col min="7410" max="7410" width="22.140625" style="1" customWidth="1"/>
    <col min="7411" max="7411" width="20.140625" style="1" customWidth="1"/>
    <col min="7412" max="7412" width="39.7109375" style="1" customWidth="1"/>
    <col min="7413" max="7413" width="10.5703125" style="1" customWidth="1"/>
    <col min="7414" max="7414" width="15.28515625" style="1" customWidth="1"/>
    <col min="7415" max="7415" width="12.85546875" style="1" customWidth="1"/>
    <col min="7416" max="7416" width="13.140625" style="1" customWidth="1"/>
    <col min="7417" max="7417" width="17.5703125" style="1" customWidth="1"/>
    <col min="7418" max="7418" width="14.42578125" style="1" customWidth="1"/>
    <col min="7419" max="7419" width="15.7109375" style="1" customWidth="1"/>
    <col min="7420" max="7420" width="15.85546875" style="1" customWidth="1"/>
    <col min="7421" max="7421" width="15" style="1" customWidth="1"/>
    <col min="7422" max="7422" width="14.42578125" style="1" customWidth="1"/>
    <col min="7423" max="7423" width="10.85546875" style="1" customWidth="1"/>
    <col min="7424" max="7424" width="11.140625" style="1" customWidth="1"/>
    <col min="7425" max="7425" width="14.7109375" style="1" customWidth="1"/>
    <col min="7426" max="7426" width="15.28515625" style="1" customWidth="1"/>
    <col min="7427" max="7428" width="13.85546875" style="1" customWidth="1"/>
    <col min="7429" max="7429" width="13.28515625" style="1" customWidth="1"/>
    <col min="7430" max="7430" width="13.7109375" style="1" customWidth="1"/>
    <col min="7431" max="7661" width="9.140625" style="1"/>
    <col min="7662" max="7662" width="5.28515625" style="1" customWidth="1"/>
    <col min="7663" max="7663" width="7.42578125" style="1" customWidth="1"/>
    <col min="7664" max="7664" width="17.5703125" style="1" customWidth="1"/>
    <col min="7665" max="7665" width="24" style="1" customWidth="1"/>
    <col min="7666" max="7666" width="22.140625" style="1" customWidth="1"/>
    <col min="7667" max="7667" width="20.140625" style="1" customWidth="1"/>
    <col min="7668" max="7668" width="39.7109375" style="1" customWidth="1"/>
    <col min="7669" max="7669" width="10.5703125" style="1" customWidth="1"/>
    <col min="7670" max="7670" width="15.28515625" style="1" customWidth="1"/>
    <col min="7671" max="7671" width="12.85546875" style="1" customWidth="1"/>
    <col min="7672" max="7672" width="13.140625" style="1" customWidth="1"/>
    <col min="7673" max="7673" width="17.5703125" style="1" customWidth="1"/>
    <col min="7674" max="7674" width="14.42578125" style="1" customWidth="1"/>
    <col min="7675" max="7675" width="15.7109375" style="1" customWidth="1"/>
    <col min="7676" max="7676" width="15.85546875" style="1" customWidth="1"/>
    <col min="7677" max="7677" width="15" style="1" customWidth="1"/>
    <col min="7678" max="7678" width="14.42578125" style="1" customWidth="1"/>
    <col min="7679" max="7679" width="10.85546875" style="1" customWidth="1"/>
    <col min="7680" max="7680" width="11.140625" style="1" customWidth="1"/>
    <col min="7681" max="7681" width="14.7109375" style="1" customWidth="1"/>
    <col min="7682" max="7682" width="15.28515625" style="1" customWidth="1"/>
    <col min="7683" max="7684" width="13.85546875" style="1" customWidth="1"/>
    <col min="7685" max="7685" width="13.28515625" style="1" customWidth="1"/>
    <col min="7686" max="7686" width="13.7109375" style="1" customWidth="1"/>
    <col min="7687" max="7917" width="9.140625" style="1"/>
    <col min="7918" max="7918" width="5.28515625" style="1" customWidth="1"/>
    <col min="7919" max="7919" width="7.42578125" style="1" customWidth="1"/>
    <col min="7920" max="7920" width="17.5703125" style="1" customWidth="1"/>
    <col min="7921" max="7921" width="24" style="1" customWidth="1"/>
    <col min="7922" max="7922" width="22.140625" style="1" customWidth="1"/>
    <col min="7923" max="7923" width="20.140625" style="1" customWidth="1"/>
    <col min="7924" max="7924" width="39.7109375" style="1" customWidth="1"/>
    <col min="7925" max="7925" width="10.5703125" style="1" customWidth="1"/>
    <col min="7926" max="7926" width="15.28515625" style="1" customWidth="1"/>
    <col min="7927" max="7927" width="12.85546875" style="1" customWidth="1"/>
    <col min="7928" max="7928" width="13.140625" style="1" customWidth="1"/>
    <col min="7929" max="7929" width="17.5703125" style="1" customWidth="1"/>
    <col min="7930" max="7930" width="14.42578125" style="1" customWidth="1"/>
    <col min="7931" max="7931" width="15.7109375" style="1" customWidth="1"/>
    <col min="7932" max="7932" width="15.85546875" style="1" customWidth="1"/>
    <col min="7933" max="7933" width="15" style="1" customWidth="1"/>
    <col min="7934" max="7934" width="14.42578125" style="1" customWidth="1"/>
    <col min="7935" max="7935" width="10.85546875" style="1" customWidth="1"/>
    <col min="7936" max="7936" width="11.140625" style="1" customWidth="1"/>
    <col min="7937" max="7937" width="14.7109375" style="1" customWidth="1"/>
    <col min="7938" max="7938" width="15.28515625" style="1" customWidth="1"/>
    <col min="7939" max="7940" width="13.85546875" style="1" customWidth="1"/>
    <col min="7941" max="7941" width="13.28515625" style="1" customWidth="1"/>
    <col min="7942" max="7942" width="13.7109375" style="1" customWidth="1"/>
    <col min="7943" max="8173" width="9.140625" style="1"/>
    <col min="8174" max="8174" width="5.28515625" style="1" customWidth="1"/>
    <col min="8175" max="8175" width="7.42578125" style="1" customWidth="1"/>
    <col min="8176" max="8176" width="17.5703125" style="1" customWidth="1"/>
    <col min="8177" max="8177" width="24" style="1" customWidth="1"/>
    <col min="8178" max="8178" width="22.140625" style="1" customWidth="1"/>
    <col min="8179" max="8179" width="20.140625" style="1" customWidth="1"/>
    <col min="8180" max="8180" width="39.7109375" style="1" customWidth="1"/>
    <col min="8181" max="8181" width="10.5703125" style="1" customWidth="1"/>
    <col min="8182" max="8182" width="15.28515625" style="1" customWidth="1"/>
    <col min="8183" max="8183" width="12.85546875" style="1" customWidth="1"/>
    <col min="8184" max="8184" width="13.140625" style="1" customWidth="1"/>
    <col min="8185" max="8185" width="17.5703125" style="1" customWidth="1"/>
    <col min="8186" max="8186" width="14.42578125" style="1" customWidth="1"/>
    <col min="8187" max="8187" width="15.7109375" style="1" customWidth="1"/>
    <col min="8188" max="8188" width="15.85546875" style="1" customWidth="1"/>
    <col min="8189" max="8189" width="15" style="1" customWidth="1"/>
    <col min="8190" max="8190" width="14.42578125" style="1" customWidth="1"/>
    <col min="8191" max="8191" width="10.85546875" style="1" customWidth="1"/>
    <col min="8192" max="8192" width="11.140625" style="1" customWidth="1"/>
    <col min="8193" max="8193" width="14.7109375" style="1" customWidth="1"/>
    <col min="8194" max="8194" width="15.28515625" style="1" customWidth="1"/>
    <col min="8195" max="8196" width="13.85546875" style="1" customWidth="1"/>
    <col min="8197" max="8197" width="13.28515625" style="1" customWidth="1"/>
    <col min="8198" max="8198" width="13.7109375" style="1" customWidth="1"/>
    <col min="8199" max="8429" width="9.140625" style="1"/>
    <col min="8430" max="8430" width="5.28515625" style="1" customWidth="1"/>
    <col min="8431" max="8431" width="7.42578125" style="1" customWidth="1"/>
    <col min="8432" max="8432" width="17.5703125" style="1" customWidth="1"/>
    <col min="8433" max="8433" width="24" style="1" customWidth="1"/>
    <col min="8434" max="8434" width="22.140625" style="1" customWidth="1"/>
    <col min="8435" max="8435" width="20.140625" style="1" customWidth="1"/>
    <col min="8436" max="8436" width="39.7109375" style="1" customWidth="1"/>
    <col min="8437" max="8437" width="10.5703125" style="1" customWidth="1"/>
    <col min="8438" max="8438" width="15.28515625" style="1" customWidth="1"/>
    <col min="8439" max="8439" width="12.85546875" style="1" customWidth="1"/>
    <col min="8440" max="8440" width="13.140625" style="1" customWidth="1"/>
    <col min="8441" max="8441" width="17.5703125" style="1" customWidth="1"/>
    <col min="8442" max="8442" width="14.42578125" style="1" customWidth="1"/>
    <col min="8443" max="8443" width="15.7109375" style="1" customWidth="1"/>
    <col min="8444" max="8444" width="15.85546875" style="1" customWidth="1"/>
    <col min="8445" max="8445" width="15" style="1" customWidth="1"/>
    <col min="8446" max="8446" width="14.42578125" style="1" customWidth="1"/>
    <col min="8447" max="8447" width="10.85546875" style="1" customWidth="1"/>
    <col min="8448" max="8448" width="11.140625" style="1" customWidth="1"/>
    <col min="8449" max="8449" width="14.7109375" style="1" customWidth="1"/>
    <col min="8450" max="8450" width="15.28515625" style="1" customWidth="1"/>
    <col min="8451" max="8452" width="13.85546875" style="1" customWidth="1"/>
    <col min="8453" max="8453" width="13.28515625" style="1" customWidth="1"/>
    <col min="8454" max="8454" width="13.7109375" style="1" customWidth="1"/>
    <col min="8455" max="8685" width="9.140625" style="1"/>
    <col min="8686" max="8686" width="5.28515625" style="1" customWidth="1"/>
    <col min="8687" max="8687" width="7.42578125" style="1" customWidth="1"/>
    <col min="8688" max="8688" width="17.5703125" style="1" customWidth="1"/>
    <col min="8689" max="8689" width="24" style="1" customWidth="1"/>
    <col min="8690" max="8690" width="22.140625" style="1" customWidth="1"/>
    <col min="8691" max="8691" width="20.140625" style="1" customWidth="1"/>
    <col min="8692" max="8692" width="39.7109375" style="1" customWidth="1"/>
    <col min="8693" max="8693" width="10.5703125" style="1" customWidth="1"/>
    <col min="8694" max="8694" width="15.28515625" style="1" customWidth="1"/>
    <col min="8695" max="8695" width="12.85546875" style="1" customWidth="1"/>
    <col min="8696" max="8696" width="13.140625" style="1" customWidth="1"/>
    <col min="8697" max="8697" width="17.5703125" style="1" customWidth="1"/>
    <col min="8698" max="8698" width="14.42578125" style="1" customWidth="1"/>
    <col min="8699" max="8699" width="15.7109375" style="1" customWidth="1"/>
    <col min="8700" max="8700" width="15.85546875" style="1" customWidth="1"/>
    <col min="8701" max="8701" width="15" style="1" customWidth="1"/>
    <col min="8702" max="8702" width="14.42578125" style="1" customWidth="1"/>
    <col min="8703" max="8703" width="10.85546875" style="1" customWidth="1"/>
    <col min="8704" max="8704" width="11.140625" style="1" customWidth="1"/>
    <col min="8705" max="8705" width="14.7109375" style="1" customWidth="1"/>
    <col min="8706" max="8706" width="15.28515625" style="1" customWidth="1"/>
    <col min="8707" max="8708" width="13.85546875" style="1" customWidth="1"/>
    <col min="8709" max="8709" width="13.28515625" style="1" customWidth="1"/>
    <col min="8710" max="8710" width="13.7109375" style="1" customWidth="1"/>
    <col min="8711" max="8941" width="9.140625" style="1"/>
    <col min="8942" max="8942" width="5.28515625" style="1" customWidth="1"/>
    <col min="8943" max="8943" width="7.42578125" style="1" customWidth="1"/>
    <col min="8944" max="8944" width="17.5703125" style="1" customWidth="1"/>
    <col min="8945" max="8945" width="24" style="1" customWidth="1"/>
    <col min="8946" max="8946" width="22.140625" style="1" customWidth="1"/>
    <col min="8947" max="8947" width="20.140625" style="1" customWidth="1"/>
    <col min="8948" max="8948" width="39.7109375" style="1" customWidth="1"/>
    <col min="8949" max="8949" width="10.5703125" style="1" customWidth="1"/>
    <col min="8950" max="8950" width="15.28515625" style="1" customWidth="1"/>
    <col min="8951" max="8951" width="12.85546875" style="1" customWidth="1"/>
    <col min="8952" max="8952" width="13.140625" style="1" customWidth="1"/>
    <col min="8953" max="8953" width="17.5703125" style="1" customWidth="1"/>
    <col min="8954" max="8954" width="14.42578125" style="1" customWidth="1"/>
    <col min="8955" max="8955" width="15.7109375" style="1" customWidth="1"/>
    <col min="8956" max="8956" width="15.85546875" style="1" customWidth="1"/>
    <col min="8957" max="8957" width="15" style="1" customWidth="1"/>
    <col min="8958" max="8958" width="14.42578125" style="1" customWidth="1"/>
    <col min="8959" max="8959" width="10.85546875" style="1" customWidth="1"/>
    <col min="8960" max="8960" width="11.140625" style="1" customWidth="1"/>
    <col min="8961" max="8961" width="14.7109375" style="1" customWidth="1"/>
    <col min="8962" max="8962" width="15.28515625" style="1" customWidth="1"/>
    <col min="8963" max="8964" width="13.85546875" style="1" customWidth="1"/>
    <col min="8965" max="8965" width="13.28515625" style="1" customWidth="1"/>
    <col min="8966" max="8966" width="13.7109375" style="1" customWidth="1"/>
    <col min="8967" max="9197" width="9.140625" style="1"/>
    <col min="9198" max="9198" width="5.28515625" style="1" customWidth="1"/>
    <col min="9199" max="9199" width="7.42578125" style="1" customWidth="1"/>
    <col min="9200" max="9200" width="17.5703125" style="1" customWidth="1"/>
    <col min="9201" max="9201" width="24" style="1" customWidth="1"/>
    <col min="9202" max="9202" width="22.140625" style="1" customWidth="1"/>
    <col min="9203" max="9203" width="20.140625" style="1" customWidth="1"/>
    <col min="9204" max="9204" width="39.7109375" style="1" customWidth="1"/>
    <col min="9205" max="9205" width="10.5703125" style="1" customWidth="1"/>
    <col min="9206" max="9206" width="15.28515625" style="1" customWidth="1"/>
    <col min="9207" max="9207" width="12.85546875" style="1" customWidth="1"/>
    <col min="9208" max="9208" width="13.140625" style="1" customWidth="1"/>
    <col min="9209" max="9209" width="17.5703125" style="1" customWidth="1"/>
    <col min="9210" max="9210" width="14.42578125" style="1" customWidth="1"/>
    <col min="9211" max="9211" width="15.7109375" style="1" customWidth="1"/>
    <col min="9212" max="9212" width="15.85546875" style="1" customWidth="1"/>
    <col min="9213" max="9213" width="15" style="1" customWidth="1"/>
    <col min="9214" max="9214" width="14.42578125" style="1" customWidth="1"/>
    <col min="9215" max="9215" width="10.85546875" style="1" customWidth="1"/>
    <col min="9216" max="9216" width="11.140625" style="1" customWidth="1"/>
    <col min="9217" max="9217" width="14.7109375" style="1" customWidth="1"/>
    <col min="9218" max="9218" width="15.28515625" style="1" customWidth="1"/>
    <col min="9219" max="9220" width="13.85546875" style="1" customWidth="1"/>
    <col min="9221" max="9221" width="13.28515625" style="1" customWidth="1"/>
    <col min="9222" max="9222" width="13.7109375" style="1" customWidth="1"/>
    <col min="9223" max="9453" width="9.140625" style="1"/>
    <col min="9454" max="9454" width="5.28515625" style="1" customWidth="1"/>
    <col min="9455" max="9455" width="7.42578125" style="1" customWidth="1"/>
    <col min="9456" max="9456" width="17.5703125" style="1" customWidth="1"/>
    <col min="9457" max="9457" width="24" style="1" customWidth="1"/>
    <col min="9458" max="9458" width="22.140625" style="1" customWidth="1"/>
    <col min="9459" max="9459" width="20.140625" style="1" customWidth="1"/>
    <col min="9460" max="9460" width="39.7109375" style="1" customWidth="1"/>
    <col min="9461" max="9461" width="10.5703125" style="1" customWidth="1"/>
    <col min="9462" max="9462" width="15.28515625" style="1" customWidth="1"/>
    <col min="9463" max="9463" width="12.85546875" style="1" customWidth="1"/>
    <col min="9464" max="9464" width="13.140625" style="1" customWidth="1"/>
    <col min="9465" max="9465" width="17.5703125" style="1" customWidth="1"/>
    <col min="9466" max="9466" width="14.42578125" style="1" customWidth="1"/>
    <col min="9467" max="9467" width="15.7109375" style="1" customWidth="1"/>
    <col min="9468" max="9468" width="15.85546875" style="1" customWidth="1"/>
    <col min="9469" max="9469" width="15" style="1" customWidth="1"/>
    <col min="9470" max="9470" width="14.42578125" style="1" customWidth="1"/>
    <col min="9471" max="9471" width="10.85546875" style="1" customWidth="1"/>
    <col min="9472" max="9472" width="11.140625" style="1" customWidth="1"/>
    <col min="9473" max="9473" width="14.7109375" style="1" customWidth="1"/>
    <col min="9474" max="9474" width="15.28515625" style="1" customWidth="1"/>
    <col min="9475" max="9476" width="13.85546875" style="1" customWidth="1"/>
    <col min="9477" max="9477" width="13.28515625" style="1" customWidth="1"/>
    <col min="9478" max="9478" width="13.7109375" style="1" customWidth="1"/>
    <col min="9479" max="9709" width="9.140625" style="1"/>
    <col min="9710" max="9710" width="5.28515625" style="1" customWidth="1"/>
    <col min="9711" max="9711" width="7.42578125" style="1" customWidth="1"/>
    <col min="9712" max="9712" width="17.5703125" style="1" customWidth="1"/>
    <col min="9713" max="9713" width="24" style="1" customWidth="1"/>
    <col min="9714" max="9714" width="22.140625" style="1" customWidth="1"/>
    <col min="9715" max="9715" width="20.140625" style="1" customWidth="1"/>
    <col min="9716" max="9716" width="39.7109375" style="1" customWidth="1"/>
    <col min="9717" max="9717" width="10.5703125" style="1" customWidth="1"/>
    <col min="9718" max="9718" width="15.28515625" style="1" customWidth="1"/>
    <col min="9719" max="9719" width="12.85546875" style="1" customWidth="1"/>
    <col min="9720" max="9720" width="13.140625" style="1" customWidth="1"/>
    <col min="9721" max="9721" width="17.5703125" style="1" customWidth="1"/>
    <col min="9722" max="9722" width="14.42578125" style="1" customWidth="1"/>
    <col min="9723" max="9723" width="15.7109375" style="1" customWidth="1"/>
    <col min="9724" max="9724" width="15.85546875" style="1" customWidth="1"/>
    <col min="9725" max="9725" width="15" style="1" customWidth="1"/>
    <col min="9726" max="9726" width="14.42578125" style="1" customWidth="1"/>
    <col min="9727" max="9727" width="10.85546875" style="1" customWidth="1"/>
    <col min="9728" max="9728" width="11.140625" style="1" customWidth="1"/>
    <col min="9729" max="9729" width="14.7109375" style="1" customWidth="1"/>
    <col min="9730" max="9730" width="15.28515625" style="1" customWidth="1"/>
    <col min="9731" max="9732" width="13.85546875" style="1" customWidth="1"/>
    <col min="9733" max="9733" width="13.28515625" style="1" customWidth="1"/>
    <col min="9734" max="9734" width="13.7109375" style="1" customWidth="1"/>
    <col min="9735" max="9965" width="9.140625" style="1"/>
    <col min="9966" max="9966" width="5.28515625" style="1" customWidth="1"/>
    <col min="9967" max="9967" width="7.42578125" style="1" customWidth="1"/>
    <col min="9968" max="9968" width="17.5703125" style="1" customWidth="1"/>
    <col min="9969" max="9969" width="24" style="1" customWidth="1"/>
    <col min="9970" max="9970" width="22.140625" style="1" customWidth="1"/>
    <col min="9971" max="9971" width="20.140625" style="1" customWidth="1"/>
    <col min="9972" max="9972" width="39.7109375" style="1" customWidth="1"/>
    <col min="9973" max="9973" width="10.5703125" style="1" customWidth="1"/>
    <col min="9974" max="9974" width="15.28515625" style="1" customWidth="1"/>
    <col min="9975" max="9975" width="12.85546875" style="1" customWidth="1"/>
    <col min="9976" max="9976" width="13.140625" style="1" customWidth="1"/>
    <col min="9977" max="9977" width="17.5703125" style="1" customWidth="1"/>
    <col min="9978" max="9978" width="14.42578125" style="1" customWidth="1"/>
    <col min="9979" max="9979" width="15.7109375" style="1" customWidth="1"/>
    <col min="9980" max="9980" width="15.85546875" style="1" customWidth="1"/>
    <col min="9981" max="9981" width="15" style="1" customWidth="1"/>
    <col min="9982" max="9982" width="14.42578125" style="1" customWidth="1"/>
    <col min="9983" max="9983" width="10.85546875" style="1" customWidth="1"/>
    <col min="9984" max="9984" width="11.140625" style="1" customWidth="1"/>
    <col min="9985" max="9985" width="14.7109375" style="1" customWidth="1"/>
    <col min="9986" max="9986" width="15.28515625" style="1" customWidth="1"/>
    <col min="9987" max="9988" width="13.85546875" style="1" customWidth="1"/>
    <col min="9989" max="9989" width="13.28515625" style="1" customWidth="1"/>
    <col min="9990" max="9990" width="13.7109375" style="1" customWidth="1"/>
    <col min="9991" max="10221" width="9.140625" style="1"/>
    <col min="10222" max="10222" width="5.28515625" style="1" customWidth="1"/>
    <col min="10223" max="10223" width="7.42578125" style="1" customWidth="1"/>
    <col min="10224" max="10224" width="17.5703125" style="1" customWidth="1"/>
    <col min="10225" max="10225" width="24" style="1" customWidth="1"/>
    <col min="10226" max="10226" width="22.140625" style="1" customWidth="1"/>
    <col min="10227" max="10227" width="20.140625" style="1" customWidth="1"/>
    <col min="10228" max="10228" width="39.7109375" style="1" customWidth="1"/>
    <col min="10229" max="10229" width="10.5703125" style="1" customWidth="1"/>
    <col min="10230" max="10230" width="15.28515625" style="1" customWidth="1"/>
    <col min="10231" max="10231" width="12.85546875" style="1" customWidth="1"/>
    <col min="10232" max="10232" width="13.140625" style="1" customWidth="1"/>
    <col min="10233" max="10233" width="17.5703125" style="1" customWidth="1"/>
    <col min="10234" max="10234" width="14.42578125" style="1" customWidth="1"/>
    <col min="10235" max="10235" width="15.7109375" style="1" customWidth="1"/>
    <col min="10236" max="10236" width="15.85546875" style="1" customWidth="1"/>
    <col min="10237" max="10237" width="15" style="1" customWidth="1"/>
    <col min="10238" max="10238" width="14.42578125" style="1" customWidth="1"/>
    <col min="10239" max="10239" width="10.85546875" style="1" customWidth="1"/>
    <col min="10240" max="10240" width="11.140625" style="1" customWidth="1"/>
    <col min="10241" max="10241" width="14.7109375" style="1" customWidth="1"/>
    <col min="10242" max="10242" width="15.28515625" style="1" customWidth="1"/>
    <col min="10243" max="10244" width="13.85546875" style="1" customWidth="1"/>
    <col min="10245" max="10245" width="13.28515625" style="1" customWidth="1"/>
    <col min="10246" max="10246" width="13.7109375" style="1" customWidth="1"/>
    <col min="10247" max="10477" width="9.140625" style="1"/>
    <col min="10478" max="10478" width="5.28515625" style="1" customWidth="1"/>
    <col min="10479" max="10479" width="7.42578125" style="1" customWidth="1"/>
    <col min="10480" max="10480" width="17.5703125" style="1" customWidth="1"/>
    <col min="10481" max="10481" width="24" style="1" customWidth="1"/>
    <col min="10482" max="10482" width="22.140625" style="1" customWidth="1"/>
    <col min="10483" max="10483" width="20.140625" style="1" customWidth="1"/>
    <col min="10484" max="10484" width="39.7109375" style="1" customWidth="1"/>
    <col min="10485" max="10485" width="10.5703125" style="1" customWidth="1"/>
    <col min="10486" max="10486" width="15.28515625" style="1" customWidth="1"/>
    <col min="10487" max="10487" width="12.85546875" style="1" customWidth="1"/>
    <col min="10488" max="10488" width="13.140625" style="1" customWidth="1"/>
    <col min="10489" max="10489" width="17.5703125" style="1" customWidth="1"/>
    <col min="10490" max="10490" width="14.42578125" style="1" customWidth="1"/>
    <col min="10491" max="10491" width="15.7109375" style="1" customWidth="1"/>
    <col min="10492" max="10492" width="15.85546875" style="1" customWidth="1"/>
    <col min="10493" max="10493" width="15" style="1" customWidth="1"/>
    <col min="10494" max="10494" width="14.42578125" style="1" customWidth="1"/>
    <col min="10495" max="10495" width="10.85546875" style="1" customWidth="1"/>
    <col min="10496" max="10496" width="11.140625" style="1" customWidth="1"/>
    <col min="10497" max="10497" width="14.7109375" style="1" customWidth="1"/>
    <col min="10498" max="10498" width="15.28515625" style="1" customWidth="1"/>
    <col min="10499" max="10500" width="13.85546875" style="1" customWidth="1"/>
    <col min="10501" max="10501" width="13.28515625" style="1" customWidth="1"/>
    <col min="10502" max="10502" width="13.7109375" style="1" customWidth="1"/>
    <col min="10503" max="10733" width="9.140625" style="1"/>
    <col min="10734" max="10734" width="5.28515625" style="1" customWidth="1"/>
    <col min="10735" max="10735" width="7.42578125" style="1" customWidth="1"/>
    <col min="10736" max="10736" width="17.5703125" style="1" customWidth="1"/>
    <col min="10737" max="10737" width="24" style="1" customWidth="1"/>
    <col min="10738" max="10738" width="22.140625" style="1" customWidth="1"/>
    <col min="10739" max="10739" width="20.140625" style="1" customWidth="1"/>
    <col min="10740" max="10740" width="39.7109375" style="1" customWidth="1"/>
    <col min="10741" max="10741" width="10.5703125" style="1" customWidth="1"/>
    <col min="10742" max="10742" width="15.28515625" style="1" customWidth="1"/>
    <col min="10743" max="10743" width="12.85546875" style="1" customWidth="1"/>
    <col min="10744" max="10744" width="13.140625" style="1" customWidth="1"/>
    <col min="10745" max="10745" width="17.5703125" style="1" customWidth="1"/>
    <col min="10746" max="10746" width="14.42578125" style="1" customWidth="1"/>
    <col min="10747" max="10747" width="15.7109375" style="1" customWidth="1"/>
    <col min="10748" max="10748" width="15.85546875" style="1" customWidth="1"/>
    <col min="10749" max="10749" width="15" style="1" customWidth="1"/>
    <col min="10750" max="10750" width="14.42578125" style="1" customWidth="1"/>
    <col min="10751" max="10751" width="10.85546875" style="1" customWidth="1"/>
    <col min="10752" max="10752" width="11.140625" style="1" customWidth="1"/>
    <col min="10753" max="10753" width="14.7109375" style="1" customWidth="1"/>
    <col min="10754" max="10754" width="15.28515625" style="1" customWidth="1"/>
    <col min="10755" max="10756" width="13.85546875" style="1" customWidth="1"/>
    <col min="10757" max="10757" width="13.28515625" style="1" customWidth="1"/>
    <col min="10758" max="10758" width="13.7109375" style="1" customWidth="1"/>
    <col min="10759" max="10989" width="9.140625" style="1"/>
    <col min="10990" max="10990" width="5.28515625" style="1" customWidth="1"/>
    <col min="10991" max="10991" width="7.42578125" style="1" customWidth="1"/>
    <col min="10992" max="10992" width="17.5703125" style="1" customWidth="1"/>
    <col min="10993" max="10993" width="24" style="1" customWidth="1"/>
    <col min="10994" max="10994" width="22.140625" style="1" customWidth="1"/>
    <col min="10995" max="10995" width="20.140625" style="1" customWidth="1"/>
    <col min="10996" max="10996" width="39.7109375" style="1" customWidth="1"/>
    <col min="10997" max="10997" width="10.5703125" style="1" customWidth="1"/>
    <col min="10998" max="10998" width="15.28515625" style="1" customWidth="1"/>
    <col min="10999" max="10999" width="12.85546875" style="1" customWidth="1"/>
    <col min="11000" max="11000" width="13.140625" style="1" customWidth="1"/>
    <col min="11001" max="11001" width="17.5703125" style="1" customWidth="1"/>
    <col min="11002" max="11002" width="14.42578125" style="1" customWidth="1"/>
    <col min="11003" max="11003" width="15.7109375" style="1" customWidth="1"/>
    <col min="11004" max="11004" width="15.85546875" style="1" customWidth="1"/>
    <col min="11005" max="11005" width="15" style="1" customWidth="1"/>
    <col min="11006" max="11006" width="14.42578125" style="1" customWidth="1"/>
    <col min="11007" max="11007" width="10.85546875" style="1" customWidth="1"/>
    <col min="11008" max="11008" width="11.140625" style="1" customWidth="1"/>
    <col min="11009" max="11009" width="14.7109375" style="1" customWidth="1"/>
    <col min="11010" max="11010" width="15.28515625" style="1" customWidth="1"/>
    <col min="11011" max="11012" width="13.85546875" style="1" customWidth="1"/>
    <col min="11013" max="11013" width="13.28515625" style="1" customWidth="1"/>
    <col min="11014" max="11014" width="13.7109375" style="1" customWidth="1"/>
    <col min="11015" max="11245" width="9.140625" style="1"/>
    <col min="11246" max="11246" width="5.28515625" style="1" customWidth="1"/>
    <col min="11247" max="11247" width="7.42578125" style="1" customWidth="1"/>
    <col min="11248" max="11248" width="17.5703125" style="1" customWidth="1"/>
    <col min="11249" max="11249" width="24" style="1" customWidth="1"/>
    <col min="11250" max="11250" width="22.140625" style="1" customWidth="1"/>
    <col min="11251" max="11251" width="20.140625" style="1" customWidth="1"/>
    <col min="11252" max="11252" width="39.7109375" style="1" customWidth="1"/>
    <col min="11253" max="11253" width="10.5703125" style="1" customWidth="1"/>
    <col min="11254" max="11254" width="15.28515625" style="1" customWidth="1"/>
    <col min="11255" max="11255" width="12.85546875" style="1" customWidth="1"/>
    <col min="11256" max="11256" width="13.140625" style="1" customWidth="1"/>
    <col min="11257" max="11257" width="17.5703125" style="1" customWidth="1"/>
    <col min="11258" max="11258" width="14.42578125" style="1" customWidth="1"/>
    <col min="11259" max="11259" width="15.7109375" style="1" customWidth="1"/>
    <col min="11260" max="11260" width="15.85546875" style="1" customWidth="1"/>
    <col min="11261" max="11261" width="15" style="1" customWidth="1"/>
    <col min="11262" max="11262" width="14.42578125" style="1" customWidth="1"/>
    <col min="11263" max="11263" width="10.85546875" style="1" customWidth="1"/>
    <col min="11264" max="11264" width="11.140625" style="1" customWidth="1"/>
    <col min="11265" max="11265" width="14.7109375" style="1" customWidth="1"/>
    <col min="11266" max="11266" width="15.28515625" style="1" customWidth="1"/>
    <col min="11267" max="11268" width="13.85546875" style="1" customWidth="1"/>
    <col min="11269" max="11269" width="13.28515625" style="1" customWidth="1"/>
    <col min="11270" max="11270" width="13.7109375" style="1" customWidth="1"/>
    <col min="11271" max="11501" width="9.140625" style="1"/>
    <col min="11502" max="11502" width="5.28515625" style="1" customWidth="1"/>
    <col min="11503" max="11503" width="7.42578125" style="1" customWidth="1"/>
    <col min="11504" max="11504" width="17.5703125" style="1" customWidth="1"/>
    <col min="11505" max="11505" width="24" style="1" customWidth="1"/>
    <col min="11506" max="11506" width="22.140625" style="1" customWidth="1"/>
    <col min="11507" max="11507" width="20.140625" style="1" customWidth="1"/>
    <col min="11508" max="11508" width="39.7109375" style="1" customWidth="1"/>
    <col min="11509" max="11509" width="10.5703125" style="1" customWidth="1"/>
    <col min="11510" max="11510" width="15.28515625" style="1" customWidth="1"/>
    <col min="11511" max="11511" width="12.85546875" style="1" customWidth="1"/>
    <col min="11512" max="11512" width="13.140625" style="1" customWidth="1"/>
    <col min="11513" max="11513" width="17.5703125" style="1" customWidth="1"/>
    <col min="11514" max="11514" width="14.42578125" style="1" customWidth="1"/>
    <col min="11515" max="11515" width="15.7109375" style="1" customWidth="1"/>
    <col min="11516" max="11516" width="15.85546875" style="1" customWidth="1"/>
    <col min="11517" max="11517" width="15" style="1" customWidth="1"/>
    <col min="11518" max="11518" width="14.42578125" style="1" customWidth="1"/>
    <col min="11519" max="11519" width="10.85546875" style="1" customWidth="1"/>
    <col min="11520" max="11520" width="11.140625" style="1" customWidth="1"/>
    <col min="11521" max="11521" width="14.7109375" style="1" customWidth="1"/>
    <col min="11522" max="11522" width="15.28515625" style="1" customWidth="1"/>
    <col min="11523" max="11524" width="13.85546875" style="1" customWidth="1"/>
    <col min="11525" max="11525" width="13.28515625" style="1" customWidth="1"/>
    <col min="11526" max="11526" width="13.7109375" style="1" customWidth="1"/>
    <col min="11527" max="11757" width="9.140625" style="1"/>
    <col min="11758" max="11758" width="5.28515625" style="1" customWidth="1"/>
    <col min="11759" max="11759" width="7.42578125" style="1" customWidth="1"/>
    <col min="11760" max="11760" width="17.5703125" style="1" customWidth="1"/>
    <col min="11761" max="11761" width="24" style="1" customWidth="1"/>
    <col min="11762" max="11762" width="22.140625" style="1" customWidth="1"/>
    <col min="11763" max="11763" width="20.140625" style="1" customWidth="1"/>
    <col min="11764" max="11764" width="39.7109375" style="1" customWidth="1"/>
    <col min="11765" max="11765" width="10.5703125" style="1" customWidth="1"/>
    <col min="11766" max="11766" width="15.28515625" style="1" customWidth="1"/>
    <col min="11767" max="11767" width="12.85546875" style="1" customWidth="1"/>
    <col min="11768" max="11768" width="13.140625" style="1" customWidth="1"/>
    <col min="11769" max="11769" width="17.5703125" style="1" customWidth="1"/>
    <col min="11770" max="11770" width="14.42578125" style="1" customWidth="1"/>
    <col min="11771" max="11771" width="15.7109375" style="1" customWidth="1"/>
    <col min="11772" max="11772" width="15.85546875" style="1" customWidth="1"/>
    <col min="11773" max="11773" width="15" style="1" customWidth="1"/>
    <col min="11774" max="11774" width="14.42578125" style="1" customWidth="1"/>
    <col min="11775" max="11775" width="10.85546875" style="1" customWidth="1"/>
    <col min="11776" max="11776" width="11.140625" style="1" customWidth="1"/>
    <col min="11777" max="11777" width="14.7109375" style="1" customWidth="1"/>
    <col min="11778" max="11778" width="15.28515625" style="1" customWidth="1"/>
    <col min="11779" max="11780" width="13.85546875" style="1" customWidth="1"/>
    <col min="11781" max="11781" width="13.28515625" style="1" customWidth="1"/>
    <col min="11782" max="11782" width="13.7109375" style="1" customWidth="1"/>
    <col min="11783" max="12013" width="9.140625" style="1"/>
    <col min="12014" max="12014" width="5.28515625" style="1" customWidth="1"/>
    <col min="12015" max="12015" width="7.42578125" style="1" customWidth="1"/>
    <col min="12016" max="12016" width="17.5703125" style="1" customWidth="1"/>
    <col min="12017" max="12017" width="24" style="1" customWidth="1"/>
    <col min="12018" max="12018" width="22.140625" style="1" customWidth="1"/>
    <col min="12019" max="12019" width="20.140625" style="1" customWidth="1"/>
    <col min="12020" max="12020" width="39.7109375" style="1" customWidth="1"/>
    <col min="12021" max="12021" width="10.5703125" style="1" customWidth="1"/>
    <col min="12022" max="12022" width="15.28515625" style="1" customWidth="1"/>
    <col min="12023" max="12023" width="12.85546875" style="1" customWidth="1"/>
    <col min="12024" max="12024" width="13.140625" style="1" customWidth="1"/>
    <col min="12025" max="12025" width="17.5703125" style="1" customWidth="1"/>
    <col min="12026" max="12026" width="14.42578125" style="1" customWidth="1"/>
    <col min="12027" max="12027" width="15.7109375" style="1" customWidth="1"/>
    <col min="12028" max="12028" width="15.85546875" style="1" customWidth="1"/>
    <col min="12029" max="12029" width="15" style="1" customWidth="1"/>
    <col min="12030" max="12030" width="14.42578125" style="1" customWidth="1"/>
    <col min="12031" max="12031" width="10.85546875" style="1" customWidth="1"/>
    <col min="12032" max="12032" width="11.140625" style="1" customWidth="1"/>
    <col min="12033" max="12033" width="14.7109375" style="1" customWidth="1"/>
    <col min="12034" max="12034" width="15.28515625" style="1" customWidth="1"/>
    <col min="12035" max="12036" width="13.85546875" style="1" customWidth="1"/>
    <col min="12037" max="12037" width="13.28515625" style="1" customWidth="1"/>
    <col min="12038" max="12038" width="13.7109375" style="1" customWidth="1"/>
    <col min="12039" max="12269" width="9.140625" style="1"/>
    <col min="12270" max="12270" width="5.28515625" style="1" customWidth="1"/>
    <col min="12271" max="12271" width="7.42578125" style="1" customWidth="1"/>
    <col min="12272" max="12272" width="17.5703125" style="1" customWidth="1"/>
    <col min="12273" max="12273" width="24" style="1" customWidth="1"/>
    <col min="12274" max="12274" width="22.140625" style="1" customWidth="1"/>
    <col min="12275" max="12275" width="20.140625" style="1" customWidth="1"/>
    <col min="12276" max="12276" width="39.7109375" style="1" customWidth="1"/>
    <col min="12277" max="12277" width="10.5703125" style="1" customWidth="1"/>
    <col min="12278" max="12278" width="15.28515625" style="1" customWidth="1"/>
    <col min="12279" max="12279" width="12.85546875" style="1" customWidth="1"/>
    <col min="12280" max="12280" width="13.140625" style="1" customWidth="1"/>
    <col min="12281" max="12281" width="17.5703125" style="1" customWidth="1"/>
    <col min="12282" max="12282" width="14.42578125" style="1" customWidth="1"/>
    <col min="12283" max="12283" width="15.7109375" style="1" customWidth="1"/>
    <col min="12284" max="12284" width="15.85546875" style="1" customWidth="1"/>
    <col min="12285" max="12285" width="15" style="1" customWidth="1"/>
    <col min="12286" max="12286" width="14.42578125" style="1" customWidth="1"/>
    <col min="12287" max="12287" width="10.85546875" style="1" customWidth="1"/>
    <col min="12288" max="12288" width="11.140625" style="1" customWidth="1"/>
    <col min="12289" max="12289" width="14.7109375" style="1" customWidth="1"/>
    <col min="12290" max="12290" width="15.28515625" style="1" customWidth="1"/>
    <col min="12291" max="12292" width="13.85546875" style="1" customWidth="1"/>
    <col min="12293" max="12293" width="13.28515625" style="1" customWidth="1"/>
    <col min="12294" max="12294" width="13.7109375" style="1" customWidth="1"/>
    <col min="12295" max="12525" width="9.140625" style="1"/>
    <col min="12526" max="12526" width="5.28515625" style="1" customWidth="1"/>
    <col min="12527" max="12527" width="7.42578125" style="1" customWidth="1"/>
    <col min="12528" max="12528" width="17.5703125" style="1" customWidth="1"/>
    <col min="12529" max="12529" width="24" style="1" customWidth="1"/>
    <col min="12530" max="12530" width="22.140625" style="1" customWidth="1"/>
    <col min="12531" max="12531" width="20.140625" style="1" customWidth="1"/>
    <col min="12532" max="12532" width="39.7109375" style="1" customWidth="1"/>
    <col min="12533" max="12533" width="10.5703125" style="1" customWidth="1"/>
    <col min="12534" max="12534" width="15.28515625" style="1" customWidth="1"/>
    <col min="12535" max="12535" width="12.85546875" style="1" customWidth="1"/>
    <col min="12536" max="12536" width="13.140625" style="1" customWidth="1"/>
    <col min="12537" max="12537" width="17.5703125" style="1" customWidth="1"/>
    <col min="12538" max="12538" width="14.42578125" style="1" customWidth="1"/>
    <col min="12539" max="12539" width="15.7109375" style="1" customWidth="1"/>
    <col min="12540" max="12540" width="15.85546875" style="1" customWidth="1"/>
    <col min="12541" max="12541" width="15" style="1" customWidth="1"/>
    <col min="12542" max="12542" width="14.42578125" style="1" customWidth="1"/>
    <col min="12543" max="12543" width="10.85546875" style="1" customWidth="1"/>
    <col min="12544" max="12544" width="11.140625" style="1" customWidth="1"/>
    <col min="12545" max="12545" width="14.7109375" style="1" customWidth="1"/>
    <col min="12546" max="12546" width="15.28515625" style="1" customWidth="1"/>
    <col min="12547" max="12548" width="13.85546875" style="1" customWidth="1"/>
    <col min="12549" max="12549" width="13.28515625" style="1" customWidth="1"/>
    <col min="12550" max="12550" width="13.7109375" style="1" customWidth="1"/>
    <col min="12551" max="12781" width="9.140625" style="1"/>
    <col min="12782" max="12782" width="5.28515625" style="1" customWidth="1"/>
    <col min="12783" max="12783" width="7.42578125" style="1" customWidth="1"/>
    <col min="12784" max="12784" width="17.5703125" style="1" customWidth="1"/>
    <col min="12785" max="12785" width="24" style="1" customWidth="1"/>
    <col min="12786" max="12786" width="22.140625" style="1" customWidth="1"/>
    <col min="12787" max="12787" width="20.140625" style="1" customWidth="1"/>
    <col min="12788" max="12788" width="39.7109375" style="1" customWidth="1"/>
    <col min="12789" max="12789" width="10.5703125" style="1" customWidth="1"/>
    <col min="12790" max="12790" width="15.28515625" style="1" customWidth="1"/>
    <col min="12791" max="12791" width="12.85546875" style="1" customWidth="1"/>
    <col min="12792" max="12792" width="13.140625" style="1" customWidth="1"/>
    <col min="12793" max="12793" width="17.5703125" style="1" customWidth="1"/>
    <col min="12794" max="12794" width="14.42578125" style="1" customWidth="1"/>
    <col min="12795" max="12795" width="15.7109375" style="1" customWidth="1"/>
    <col min="12796" max="12796" width="15.85546875" style="1" customWidth="1"/>
    <col min="12797" max="12797" width="15" style="1" customWidth="1"/>
    <col min="12798" max="12798" width="14.42578125" style="1" customWidth="1"/>
    <col min="12799" max="12799" width="10.85546875" style="1" customWidth="1"/>
    <col min="12800" max="12800" width="11.140625" style="1" customWidth="1"/>
    <col min="12801" max="12801" width="14.7109375" style="1" customWidth="1"/>
    <col min="12802" max="12802" width="15.28515625" style="1" customWidth="1"/>
    <col min="12803" max="12804" width="13.85546875" style="1" customWidth="1"/>
    <col min="12805" max="12805" width="13.28515625" style="1" customWidth="1"/>
    <col min="12806" max="12806" width="13.7109375" style="1" customWidth="1"/>
    <col min="12807" max="13037" width="9.140625" style="1"/>
    <col min="13038" max="13038" width="5.28515625" style="1" customWidth="1"/>
    <col min="13039" max="13039" width="7.42578125" style="1" customWidth="1"/>
    <col min="13040" max="13040" width="17.5703125" style="1" customWidth="1"/>
    <col min="13041" max="13041" width="24" style="1" customWidth="1"/>
    <col min="13042" max="13042" width="22.140625" style="1" customWidth="1"/>
    <col min="13043" max="13043" width="20.140625" style="1" customWidth="1"/>
    <col min="13044" max="13044" width="39.7109375" style="1" customWidth="1"/>
    <col min="13045" max="13045" width="10.5703125" style="1" customWidth="1"/>
    <col min="13046" max="13046" width="15.28515625" style="1" customWidth="1"/>
    <col min="13047" max="13047" width="12.85546875" style="1" customWidth="1"/>
    <col min="13048" max="13048" width="13.140625" style="1" customWidth="1"/>
    <col min="13049" max="13049" width="17.5703125" style="1" customWidth="1"/>
    <col min="13050" max="13050" width="14.42578125" style="1" customWidth="1"/>
    <col min="13051" max="13051" width="15.7109375" style="1" customWidth="1"/>
    <col min="13052" max="13052" width="15.85546875" style="1" customWidth="1"/>
    <col min="13053" max="13053" width="15" style="1" customWidth="1"/>
    <col min="13054" max="13054" width="14.42578125" style="1" customWidth="1"/>
    <col min="13055" max="13055" width="10.85546875" style="1" customWidth="1"/>
    <col min="13056" max="13056" width="11.140625" style="1" customWidth="1"/>
    <col min="13057" max="13057" width="14.7109375" style="1" customWidth="1"/>
    <col min="13058" max="13058" width="15.28515625" style="1" customWidth="1"/>
    <col min="13059" max="13060" width="13.85546875" style="1" customWidth="1"/>
    <col min="13061" max="13061" width="13.28515625" style="1" customWidth="1"/>
    <col min="13062" max="13062" width="13.7109375" style="1" customWidth="1"/>
    <col min="13063" max="13293" width="9.140625" style="1"/>
    <col min="13294" max="13294" width="5.28515625" style="1" customWidth="1"/>
    <col min="13295" max="13295" width="7.42578125" style="1" customWidth="1"/>
    <col min="13296" max="13296" width="17.5703125" style="1" customWidth="1"/>
    <col min="13297" max="13297" width="24" style="1" customWidth="1"/>
    <col min="13298" max="13298" width="22.140625" style="1" customWidth="1"/>
    <col min="13299" max="13299" width="20.140625" style="1" customWidth="1"/>
    <col min="13300" max="13300" width="39.7109375" style="1" customWidth="1"/>
    <col min="13301" max="13301" width="10.5703125" style="1" customWidth="1"/>
    <col min="13302" max="13302" width="15.28515625" style="1" customWidth="1"/>
    <col min="13303" max="13303" width="12.85546875" style="1" customWidth="1"/>
    <col min="13304" max="13304" width="13.140625" style="1" customWidth="1"/>
    <col min="13305" max="13305" width="17.5703125" style="1" customWidth="1"/>
    <col min="13306" max="13306" width="14.42578125" style="1" customWidth="1"/>
    <col min="13307" max="13307" width="15.7109375" style="1" customWidth="1"/>
    <col min="13308" max="13308" width="15.85546875" style="1" customWidth="1"/>
    <col min="13309" max="13309" width="15" style="1" customWidth="1"/>
    <col min="13310" max="13310" width="14.42578125" style="1" customWidth="1"/>
    <col min="13311" max="13311" width="10.85546875" style="1" customWidth="1"/>
    <col min="13312" max="13312" width="11.140625" style="1" customWidth="1"/>
    <col min="13313" max="13313" width="14.7109375" style="1" customWidth="1"/>
    <col min="13314" max="13314" width="15.28515625" style="1" customWidth="1"/>
    <col min="13315" max="13316" width="13.85546875" style="1" customWidth="1"/>
    <col min="13317" max="13317" width="13.28515625" style="1" customWidth="1"/>
    <col min="13318" max="13318" width="13.7109375" style="1" customWidth="1"/>
    <col min="13319" max="13549" width="9.140625" style="1"/>
    <col min="13550" max="13550" width="5.28515625" style="1" customWidth="1"/>
    <col min="13551" max="13551" width="7.42578125" style="1" customWidth="1"/>
    <col min="13552" max="13552" width="17.5703125" style="1" customWidth="1"/>
    <col min="13553" max="13553" width="24" style="1" customWidth="1"/>
    <col min="13554" max="13554" width="22.140625" style="1" customWidth="1"/>
    <col min="13555" max="13555" width="20.140625" style="1" customWidth="1"/>
    <col min="13556" max="13556" width="39.7109375" style="1" customWidth="1"/>
    <col min="13557" max="13557" width="10.5703125" style="1" customWidth="1"/>
    <col min="13558" max="13558" width="15.28515625" style="1" customWidth="1"/>
    <col min="13559" max="13559" width="12.85546875" style="1" customWidth="1"/>
    <col min="13560" max="13560" width="13.140625" style="1" customWidth="1"/>
    <col min="13561" max="13561" width="17.5703125" style="1" customWidth="1"/>
    <col min="13562" max="13562" width="14.42578125" style="1" customWidth="1"/>
    <col min="13563" max="13563" width="15.7109375" style="1" customWidth="1"/>
    <col min="13564" max="13564" width="15.85546875" style="1" customWidth="1"/>
    <col min="13565" max="13565" width="15" style="1" customWidth="1"/>
    <col min="13566" max="13566" width="14.42578125" style="1" customWidth="1"/>
    <col min="13567" max="13567" width="10.85546875" style="1" customWidth="1"/>
    <col min="13568" max="13568" width="11.140625" style="1" customWidth="1"/>
    <col min="13569" max="13569" width="14.7109375" style="1" customWidth="1"/>
    <col min="13570" max="13570" width="15.28515625" style="1" customWidth="1"/>
    <col min="13571" max="13572" width="13.85546875" style="1" customWidth="1"/>
    <col min="13573" max="13573" width="13.28515625" style="1" customWidth="1"/>
    <col min="13574" max="13574" width="13.7109375" style="1" customWidth="1"/>
    <col min="13575" max="13805" width="9.140625" style="1"/>
    <col min="13806" max="13806" width="5.28515625" style="1" customWidth="1"/>
    <col min="13807" max="13807" width="7.42578125" style="1" customWidth="1"/>
    <col min="13808" max="13808" width="17.5703125" style="1" customWidth="1"/>
    <col min="13809" max="13809" width="24" style="1" customWidth="1"/>
    <col min="13810" max="13810" width="22.140625" style="1" customWidth="1"/>
    <col min="13811" max="13811" width="20.140625" style="1" customWidth="1"/>
    <col min="13812" max="13812" width="39.7109375" style="1" customWidth="1"/>
    <col min="13813" max="13813" width="10.5703125" style="1" customWidth="1"/>
    <col min="13814" max="13814" width="15.28515625" style="1" customWidth="1"/>
    <col min="13815" max="13815" width="12.85546875" style="1" customWidth="1"/>
    <col min="13816" max="13816" width="13.140625" style="1" customWidth="1"/>
    <col min="13817" max="13817" width="17.5703125" style="1" customWidth="1"/>
    <col min="13818" max="13818" width="14.42578125" style="1" customWidth="1"/>
    <col min="13819" max="13819" width="15.7109375" style="1" customWidth="1"/>
    <col min="13820" max="13820" width="15.85546875" style="1" customWidth="1"/>
    <col min="13821" max="13821" width="15" style="1" customWidth="1"/>
    <col min="13822" max="13822" width="14.42578125" style="1" customWidth="1"/>
    <col min="13823" max="13823" width="10.85546875" style="1" customWidth="1"/>
    <col min="13824" max="13824" width="11.140625" style="1" customWidth="1"/>
    <col min="13825" max="13825" width="14.7109375" style="1" customWidth="1"/>
    <col min="13826" max="13826" width="15.28515625" style="1" customWidth="1"/>
    <col min="13827" max="13828" width="13.85546875" style="1" customWidth="1"/>
    <col min="13829" max="13829" width="13.28515625" style="1" customWidth="1"/>
    <col min="13830" max="13830" width="13.7109375" style="1" customWidth="1"/>
    <col min="13831" max="14061" width="9.140625" style="1"/>
    <col min="14062" max="14062" width="5.28515625" style="1" customWidth="1"/>
    <col min="14063" max="14063" width="7.42578125" style="1" customWidth="1"/>
    <col min="14064" max="14064" width="17.5703125" style="1" customWidth="1"/>
    <col min="14065" max="14065" width="24" style="1" customWidth="1"/>
    <col min="14066" max="14066" width="22.140625" style="1" customWidth="1"/>
    <col min="14067" max="14067" width="20.140625" style="1" customWidth="1"/>
    <col min="14068" max="14068" width="39.7109375" style="1" customWidth="1"/>
    <col min="14069" max="14069" width="10.5703125" style="1" customWidth="1"/>
    <col min="14070" max="14070" width="15.28515625" style="1" customWidth="1"/>
    <col min="14071" max="14071" width="12.85546875" style="1" customWidth="1"/>
    <col min="14072" max="14072" width="13.140625" style="1" customWidth="1"/>
    <col min="14073" max="14073" width="17.5703125" style="1" customWidth="1"/>
    <col min="14074" max="14074" width="14.42578125" style="1" customWidth="1"/>
    <col min="14075" max="14075" width="15.7109375" style="1" customWidth="1"/>
    <col min="14076" max="14076" width="15.85546875" style="1" customWidth="1"/>
    <col min="14077" max="14077" width="15" style="1" customWidth="1"/>
    <col min="14078" max="14078" width="14.42578125" style="1" customWidth="1"/>
    <col min="14079" max="14079" width="10.85546875" style="1" customWidth="1"/>
    <col min="14080" max="14080" width="11.140625" style="1" customWidth="1"/>
    <col min="14081" max="14081" width="14.7109375" style="1" customWidth="1"/>
    <col min="14082" max="14082" width="15.28515625" style="1" customWidth="1"/>
    <col min="14083" max="14084" width="13.85546875" style="1" customWidth="1"/>
    <col min="14085" max="14085" width="13.28515625" style="1" customWidth="1"/>
    <col min="14086" max="14086" width="13.7109375" style="1" customWidth="1"/>
    <col min="14087" max="14317" width="9.140625" style="1"/>
    <col min="14318" max="14318" width="5.28515625" style="1" customWidth="1"/>
    <col min="14319" max="14319" width="7.42578125" style="1" customWidth="1"/>
    <col min="14320" max="14320" width="17.5703125" style="1" customWidth="1"/>
    <col min="14321" max="14321" width="24" style="1" customWidth="1"/>
    <col min="14322" max="14322" width="22.140625" style="1" customWidth="1"/>
    <col min="14323" max="14323" width="20.140625" style="1" customWidth="1"/>
    <col min="14324" max="14324" width="39.7109375" style="1" customWidth="1"/>
    <col min="14325" max="14325" width="10.5703125" style="1" customWidth="1"/>
    <col min="14326" max="14326" width="15.28515625" style="1" customWidth="1"/>
    <col min="14327" max="14327" width="12.85546875" style="1" customWidth="1"/>
    <col min="14328" max="14328" width="13.140625" style="1" customWidth="1"/>
    <col min="14329" max="14329" width="17.5703125" style="1" customWidth="1"/>
    <col min="14330" max="14330" width="14.42578125" style="1" customWidth="1"/>
    <col min="14331" max="14331" width="15.7109375" style="1" customWidth="1"/>
    <col min="14332" max="14332" width="15.85546875" style="1" customWidth="1"/>
    <col min="14333" max="14333" width="15" style="1" customWidth="1"/>
    <col min="14334" max="14334" width="14.42578125" style="1" customWidth="1"/>
    <col min="14335" max="14335" width="10.85546875" style="1" customWidth="1"/>
    <col min="14336" max="14336" width="11.140625" style="1" customWidth="1"/>
    <col min="14337" max="14337" width="14.7109375" style="1" customWidth="1"/>
    <col min="14338" max="14338" width="15.28515625" style="1" customWidth="1"/>
    <col min="14339" max="14340" width="13.85546875" style="1" customWidth="1"/>
    <col min="14341" max="14341" width="13.28515625" style="1" customWidth="1"/>
    <col min="14342" max="14342" width="13.7109375" style="1" customWidth="1"/>
    <col min="14343" max="14573" width="9.140625" style="1"/>
    <col min="14574" max="14574" width="5.28515625" style="1" customWidth="1"/>
    <col min="14575" max="14575" width="7.42578125" style="1" customWidth="1"/>
    <col min="14576" max="14576" width="17.5703125" style="1" customWidth="1"/>
    <col min="14577" max="14577" width="24" style="1" customWidth="1"/>
    <col min="14578" max="14578" width="22.140625" style="1" customWidth="1"/>
    <col min="14579" max="14579" width="20.140625" style="1" customWidth="1"/>
    <col min="14580" max="14580" width="39.7109375" style="1" customWidth="1"/>
    <col min="14581" max="14581" width="10.5703125" style="1" customWidth="1"/>
    <col min="14582" max="14582" width="15.28515625" style="1" customWidth="1"/>
    <col min="14583" max="14583" width="12.85546875" style="1" customWidth="1"/>
    <col min="14584" max="14584" width="13.140625" style="1" customWidth="1"/>
    <col min="14585" max="14585" width="17.5703125" style="1" customWidth="1"/>
    <col min="14586" max="14586" width="14.42578125" style="1" customWidth="1"/>
    <col min="14587" max="14587" width="15.7109375" style="1" customWidth="1"/>
    <col min="14588" max="14588" width="15.85546875" style="1" customWidth="1"/>
    <col min="14589" max="14589" width="15" style="1" customWidth="1"/>
    <col min="14590" max="14590" width="14.42578125" style="1" customWidth="1"/>
    <col min="14591" max="14591" width="10.85546875" style="1" customWidth="1"/>
    <col min="14592" max="14592" width="11.140625" style="1" customWidth="1"/>
    <col min="14593" max="14593" width="14.7109375" style="1" customWidth="1"/>
    <col min="14594" max="14594" width="15.28515625" style="1" customWidth="1"/>
    <col min="14595" max="14596" width="13.85546875" style="1" customWidth="1"/>
    <col min="14597" max="14597" width="13.28515625" style="1" customWidth="1"/>
    <col min="14598" max="14598" width="13.7109375" style="1" customWidth="1"/>
    <col min="14599" max="14829" width="9.140625" style="1"/>
    <col min="14830" max="14830" width="5.28515625" style="1" customWidth="1"/>
    <col min="14831" max="14831" width="7.42578125" style="1" customWidth="1"/>
    <col min="14832" max="14832" width="17.5703125" style="1" customWidth="1"/>
    <col min="14833" max="14833" width="24" style="1" customWidth="1"/>
    <col min="14834" max="14834" width="22.140625" style="1" customWidth="1"/>
    <col min="14835" max="14835" width="20.140625" style="1" customWidth="1"/>
    <col min="14836" max="14836" width="39.7109375" style="1" customWidth="1"/>
    <col min="14837" max="14837" width="10.5703125" style="1" customWidth="1"/>
    <col min="14838" max="14838" width="15.28515625" style="1" customWidth="1"/>
    <col min="14839" max="14839" width="12.85546875" style="1" customWidth="1"/>
    <col min="14840" max="14840" width="13.140625" style="1" customWidth="1"/>
    <col min="14841" max="14841" width="17.5703125" style="1" customWidth="1"/>
    <col min="14842" max="14842" width="14.42578125" style="1" customWidth="1"/>
    <col min="14843" max="14843" width="15.7109375" style="1" customWidth="1"/>
    <col min="14844" max="14844" width="15.85546875" style="1" customWidth="1"/>
    <col min="14845" max="14845" width="15" style="1" customWidth="1"/>
    <col min="14846" max="14846" width="14.42578125" style="1" customWidth="1"/>
    <col min="14847" max="14847" width="10.85546875" style="1" customWidth="1"/>
    <col min="14848" max="14848" width="11.140625" style="1" customWidth="1"/>
    <col min="14849" max="14849" width="14.7109375" style="1" customWidth="1"/>
    <col min="14850" max="14850" width="15.28515625" style="1" customWidth="1"/>
    <col min="14851" max="14852" width="13.85546875" style="1" customWidth="1"/>
    <col min="14853" max="14853" width="13.28515625" style="1" customWidth="1"/>
    <col min="14854" max="14854" width="13.7109375" style="1" customWidth="1"/>
    <col min="14855" max="15085" width="9.140625" style="1"/>
    <col min="15086" max="15086" width="5.28515625" style="1" customWidth="1"/>
    <col min="15087" max="15087" width="7.42578125" style="1" customWidth="1"/>
    <col min="15088" max="15088" width="17.5703125" style="1" customWidth="1"/>
    <col min="15089" max="15089" width="24" style="1" customWidth="1"/>
    <col min="15090" max="15090" width="22.140625" style="1" customWidth="1"/>
    <col min="15091" max="15091" width="20.140625" style="1" customWidth="1"/>
    <col min="15092" max="15092" width="39.7109375" style="1" customWidth="1"/>
    <col min="15093" max="15093" width="10.5703125" style="1" customWidth="1"/>
    <col min="15094" max="15094" width="15.28515625" style="1" customWidth="1"/>
    <col min="15095" max="15095" width="12.85546875" style="1" customWidth="1"/>
    <col min="15096" max="15096" width="13.140625" style="1" customWidth="1"/>
    <col min="15097" max="15097" width="17.5703125" style="1" customWidth="1"/>
    <col min="15098" max="15098" width="14.42578125" style="1" customWidth="1"/>
    <col min="15099" max="15099" width="15.7109375" style="1" customWidth="1"/>
    <col min="15100" max="15100" width="15.85546875" style="1" customWidth="1"/>
    <col min="15101" max="15101" width="15" style="1" customWidth="1"/>
    <col min="15102" max="15102" width="14.42578125" style="1" customWidth="1"/>
    <col min="15103" max="15103" width="10.85546875" style="1" customWidth="1"/>
    <col min="15104" max="15104" width="11.140625" style="1" customWidth="1"/>
    <col min="15105" max="15105" width="14.7109375" style="1" customWidth="1"/>
    <col min="15106" max="15106" width="15.28515625" style="1" customWidth="1"/>
    <col min="15107" max="15108" width="13.85546875" style="1" customWidth="1"/>
    <col min="15109" max="15109" width="13.28515625" style="1" customWidth="1"/>
    <col min="15110" max="15110" width="13.7109375" style="1" customWidth="1"/>
    <col min="15111" max="15341" width="9.140625" style="1"/>
    <col min="15342" max="15342" width="5.28515625" style="1" customWidth="1"/>
    <col min="15343" max="15343" width="7.42578125" style="1" customWidth="1"/>
    <col min="15344" max="15344" width="17.5703125" style="1" customWidth="1"/>
    <col min="15345" max="15345" width="24" style="1" customWidth="1"/>
    <col min="15346" max="15346" width="22.140625" style="1" customWidth="1"/>
    <col min="15347" max="15347" width="20.140625" style="1" customWidth="1"/>
    <col min="15348" max="15348" width="39.7109375" style="1" customWidth="1"/>
    <col min="15349" max="15349" width="10.5703125" style="1" customWidth="1"/>
    <col min="15350" max="15350" width="15.28515625" style="1" customWidth="1"/>
    <col min="15351" max="15351" width="12.85546875" style="1" customWidth="1"/>
    <col min="15352" max="15352" width="13.140625" style="1" customWidth="1"/>
    <col min="15353" max="15353" width="17.5703125" style="1" customWidth="1"/>
    <col min="15354" max="15354" width="14.42578125" style="1" customWidth="1"/>
    <col min="15355" max="15355" width="15.7109375" style="1" customWidth="1"/>
    <col min="15356" max="15356" width="15.85546875" style="1" customWidth="1"/>
    <col min="15357" max="15357" width="15" style="1" customWidth="1"/>
    <col min="15358" max="15358" width="14.42578125" style="1" customWidth="1"/>
    <col min="15359" max="15359" width="10.85546875" style="1" customWidth="1"/>
    <col min="15360" max="15360" width="11.140625" style="1" customWidth="1"/>
    <col min="15361" max="15361" width="14.7109375" style="1" customWidth="1"/>
    <col min="15362" max="15362" width="15.28515625" style="1" customWidth="1"/>
    <col min="15363" max="15364" width="13.85546875" style="1" customWidth="1"/>
    <col min="15365" max="15365" width="13.28515625" style="1" customWidth="1"/>
    <col min="15366" max="15366" width="13.7109375" style="1" customWidth="1"/>
    <col min="15367" max="15597" width="9.140625" style="1"/>
    <col min="15598" max="15598" width="5.28515625" style="1" customWidth="1"/>
    <col min="15599" max="15599" width="7.42578125" style="1" customWidth="1"/>
    <col min="15600" max="15600" width="17.5703125" style="1" customWidth="1"/>
    <col min="15601" max="15601" width="24" style="1" customWidth="1"/>
    <col min="15602" max="15602" width="22.140625" style="1" customWidth="1"/>
    <col min="15603" max="15603" width="20.140625" style="1" customWidth="1"/>
    <col min="15604" max="15604" width="39.7109375" style="1" customWidth="1"/>
    <col min="15605" max="15605" width="10.5703125" style="1" customWidth="1"/>
    <col min="15606" max="15606" width="15.28515625" style="1" customWidth="1"/>
    <col min="15607" max="15607" width="12.85546875" style="1" customWidth="1"/>
    <col min="15608" max="15608" width="13.140625" style="1" customWidth="1"/>
    <col min="15609" max="15609" width="17.5703125" style="1" customWidth="1"/>
    <col min="15610" max="15610" width="14.42578125" style="1" customWidth="1"/>
    <col min="15611" max="15611" width="15.7109375" style="1" customWidth="1"/>
    <col min="15612" max="15612" width="15.85546875" style="1" customWidth="1"/>
    <col min="15613" max="15613" width="15" style="1" customWidth="1"/>
    <col min="15614" max="15614" width="14.42578125" style="1" customWidth="1"/>
    <col min="15615" max="15615" width="10.85546875" style="1" customWidth="1"/>
    <col min="15616" max="15616" width="11.140625" style="1" customWidth="1"/>
    <col min="15617" max="15617" width="14.7109375" style="1" customWidth="1"/>
    <col min="15618" max="15618" width="15.28515625" style="1" customWidth="1"/>
    <col min="15619" max="15620" width="13.85546875" style="1" customWidth="1"/>
    <col min="15621" max="15621" width="13.28515625" style="1" customWidth="1"/>
    <col min="15622" max="15622" width="13.7109375" style="1" customWidth="1"/>
    <col min="15623" max="15853" width="9.140625" style="1"/>
    <col min="15854" max="15854" width="5.28515625" style="1" customWidth="1"/>
    <col min="15855" max="15855" width="7.42578125" style="1" customWidth="1"/>
    <col min="15856" max="15856" width="17.5703125" style="1" customWidth="1"/>
    <col min="15857" max="15857" width="24" style="1" customWidth="1"/>
    <col min="15858" max="15858" width="22.140625" style="1" customWidth="1"/>
    <col min="15859" max="15859" width="20.140625" style="1" customWidth="1"/>
    <col min="15860" max="15860" width="39.7109375" style="1" customWidth="1"/>
    <col min="15861" max="15861" width="10.5703125" style="1" customWidth="1"/>
    <col min="15862" max="15862" width="15.28515625" style="1" customWidth="1"/>
    <col min="15863" max="15863" width="12.85546875" style="1" customWidth="1"/>
    <col min="15864" max="15864" width="13.140625" style="1" customWidth="1"/>
    <col min="15865" max="15865" width="17.5703125" style="1" customWidth="1"/>
    <col min="15866" max="15866" width="14.42578125" style="1" customWidth="1"/>
    <col min="15867" max="15867" width="15.7109375" style="1" customWidth="1"/>
    <col min="15868" max="15868" width="15.85546875" style="1" customWidth="1"/>
    <col min="15869" max="15869" width="15" style="1" customWidth="1"/>
    <col min="15870" max="15870" width="14.42578125" style="1" customWidth="1"/>
    <col min="15871" max="15871" width="10.85546875" style="1" customWidth="1"/>
    <col min="15872" max="15872" width="11.140625" style="1" customWidth="1"/>
    <col min="15873" max="15873" width="14.7109375" style="1" customWidth="1"/>
    <col min="15874" max="15874" width="15.28515625" style="1" customWidth="1"/>
    <col min="15875" max="15876" width="13.85546875" style="1" customWidth="1"/>
    <col min="15877" max="15877" width="13.28515625" style="1" customWidth="1"/>
    <col min="15878" max="15878" width="13.7109375" style="1" customWidth="1"/>
    <col min="15879" max="16109" width="9.140625" style="1"/>
    <col min="16110" max="16110" width="5.28515625" style="1" customWidth="1"/>
    <col min="16111" max="16111" width="7.42578125" style="1" customWidth="1"/>
    <col min="16112" max="16112" width="17.5703125" style="1" customWidth="1"/>
    <col min="16113" max="16113" width="24" style="1" customWidth="1"/>
    <col min="16114" max="16114" width="22.140625" style="1" customWidth="1"/>
    <col min="16115" max="16115" width="20.140625" style="1" customWidth="1"/>
    <col min="16116" max="16116" width="39.7109375" style="1" customWidth="1"/>
    <col min="16117" max="16117" width="10.5703125" style="1" customWidth="1"/>
    <col min="16118" max="16118" width="15.28515625" style="1" customWidth="1"/>
    <col min="16119" max="16119" width="12.85546875" style="1" customWidth="1"/>
    <col min="16120" max="16120" width="13.140625" style="1" customWidth="1"/>
    <col min="16121" max="16121" width="17.5703125" style="1" customWidth="1"/>
    <col min="16122" max="16122" width="14.42578125" style="1" customWidth="1"/>
    <col min="16123" max="16123" width="15.7109375" style="1" customWidth="1"/>
    <col min="16124" max="16124" width="15.85546875" style="1" customWidth="1"/>
    <col min="16125" max="16125" width="15" style="1" customWidth="1"/>
    <col min="16126" max="16126" width="14.42578125" style="1" customWidth="1"/>
    <col min="16127" max="16127" width="10.85546875" style="1" customWidth="1"/>
    <col min="16128" max="16128" width="11.140625" style="1" customWidth="1"/>
    <col min="16129" max="16129" width="14.7109375" style="1" customWidth="1"/>
    <col min="16130" max="16130" width="15.28515625" style="1" customWidth="1"/>
    <col min="16131" max="16132" width="13.85546875" style="1" customWidth="1"/>
    <col min="16133" max="16133" width="13.28515625" style="1" customWidth="1"/>
    <col min="16134" max="16134" width="13.7109375" style="1" customWidth="1"/>
    <col min="16135" max="16384" width="9.140625" style="1"/>
  </cols>
  <sheetData>
    <row r="1" spans="1:24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2"/>
      <c r="S1" s="2"/>
      <c r="U1" s="2"/>
      <c r="V1" s="2"/>
      <c r="W1" s="2"/>
    </row>
    <row r="2" spans="1:24" ht="60.75" customHeight="1" x14ac:dyDescent="0.25">
      <c r="B2" s="171"/>
      <c r="C2" s="171"/>
      <c r="D2" s="171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2"/>
      <c r="Q2" s="2"/>
      <c r="S2" s="173" t="s">
        <v>511</v>
      </c>
      <c r="T2" s="173"/>
      <c r="U2" s="173"/>
      <c r="V2" s="173"/>
      <c r="W2" s="173"/>
      <c r="X2" s="173"/>
    </row>
    <row r="3" spans="1:24" ht="16.5" customHeight="1" x14ac:dyDescent="0.25">
      <c r="N3" s="2"/>
      <c r="U3" s="2"/>
      <c r="V3" s="2"/>
      <c r="W3" s="2"/>
      <c r="X3" s="2"/>
    </row>
    <row r="4" spans="1:24" ht="15" customHeight="1" x14ac:dyDescent="0.25">
      <c r="A4" s="175" t="s">
        <v>507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  <c r="Q4" s="175"/>
      <c r="R4" s="175"/>
      <c r="S4" s="175"/>
      <c r="T4" s="175"/>
      <c r="U4" s="175"/>
      <c r="V4" s="175"/>
      <c r="W4" s="175"/>
      <c r="X4" s="175"/>
    </row>
    <row r="5" spans="1:24" x14ac:dyDescent="0.25">
      <c r="B5" s="6"/>
      <c r="C5" s="2" t="s">
        <v>0</v>
      </c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8"/>
      <c r="P5" s="9"/>
      <c r="Q5" s="6"/>
      <c r="R5" s="6"/>
      <c r="S5" s="6"/>
      <c r="T5" s="6"/>
      <c r="U5" s="6"/>
      <c r="V5" s="10"/>
      <c r="W5" s="10"/>
      <c r="X5" s="2"/>
    </row>
    <row r="6" spans="1:24" ht="24.75" customHeight="1" x14ac:dyDescent="0.25">
      <c r="K6" s="2"/>
      <c r="L6" s="2"/>
      <c r="M6" s="2"/>
      <c r="N6" s="2"/>
      <c r="P6" s="11"/>
      <c r="Q6" s="2"/>
      <c r="R6" s="2"/>
      <c r="T6" s="171" t="s">
        <v>482</v>
      </c>
      <c r="U6" s="171"/>
      <c r="V6" s="171"/>
      <c r="W6" s="171"/>
      <c r="X6" s="171"/>
    </row>
    <row r="7" spans="1:24" ht="14.25" hidden="1" customHeight="1" x14ac:dyDescent="0.25">
      <c r="K7" s="2"/>
      <c r="L7" s="2"/>
      <c r="M7" s="2"/>
      <c r="N7" s="2"/>
      <c r="P7" s="11"/>
      <c r="Q7" s="2"/>
      <c r="R7" s="2"/>
      <c r="T7" s="6"/>
      <c r="U7" s="6"/>
      <c r="V7" s="10"/>
      <c r="W7" s="10"/>
      <c r="X7" s="10"/>
    </row>
    <row r="8" spans="1:24" s="2" customFormat="1" ht="40.5" hidden="1" customHeight="1" x14ac:dyDescent="0.25">
      <c r="O8" s="12"/>
    </row>
    <row r="9" spans="1:24" hidden="1" x14ac:dyDescent="0.25">
      <c r="B9" s="2"/>
      <c r="C9" s="13"/>
      <c r="E9" s="13"/>
      <c r="F9" s="2"/>
      <c r="K9" s="2"/>
      <c r="L9" s="2"/>
      <c r="M9" s="2"/>
      <c r="N9" s="2"/>
      <c r="P9" s="11"/>
      <c r="Q9" s="2"/>
      <c r="R9" s="2"/>
      <c r="S9" s="6"/>
      <c r="T9" s="6"/>
      <c r="U9" s="6"/>
      <c r="V9" s="10"/>
      <c r="W9" s="10"/>
      <c r="X9" s="10"/>
    </row>
    <row r="10" spans="1:24" hidden="1" x14ac:dyDescent="0.25">
      <c r="B10" s="2"/>
      <c r="C10" s="14"/>
    </row>
    <row r="11" spans="1:24" hidden="1" x14ac:dyDescent="0.25">
      <c r="A11" s="2"/>
    </row>
    <row r="12" spans="1:24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5"/>
      <c r="P12" s="11"/>
      <c r="Q12" s="2"/>
      <c r="R12" s="2"/>
      <c r="S12" s="2"/>
      <c r="T12" s="2"/>
      <c r="U12" s="2"/>
      <c r="V12" s="2"/>
      <c r="W12" s="2"/>
    </row>
    <row r="13" spans="1:24" s="16" customFormat="1" ht="112.5" customHeight="1" x14ac:dyDescent="0.25">
      <c r="A13" s="80" t="s">
        <v>1</v>
      </c>
      <c r="B13" s="80" t="s">
        <v>2</v>
      </c>
      <c r="C13" s="80" t="s">
        <v>3</v>
      </c>
      <c r="D13" s="81" t="s">
        <v>4</v>
      </c>
      <c r="E13" s="80" t="s">
        <v>5</v>
      </c>
      <c r="F13" s="39" t="s">
        <v>6</v>
      </c>
      <c r="G13" s="80" t="s">
        <v>7</v>
      </c>
      <c r="H13" s="80" t="s">
        <v>8</v>
      </c>
      <c r="I13" s="80" t="s">
        <v>9</v>
      </c>
      <c r="J13" s="80" t="s">
        <v>10</v>
      </c>
      <c r="K13" s="80" t="s">
        <v>11</v>
      </c>
      <c r="L13" s="80" t="s">
        <v>12</v>
      </c>
      <c r="M13" s="80" t="s">
        <v>13</v>
      </c>
      <c r="N13" s="80" t="s">
        <v>14</v>
      </c>
      <c r="O13" s="82" t="s">
        <v>15</v>
      </c>
      <c r="P13" s="110" t="s">
        <v>16</v>
      </c>
      <c r="Q13" s="80" t="s">
        <v>17</v>
      </c>
      <c r="R13" s="80" t="s">
        <v>18</v>
      </c>
      <c r="S13" s="80" t="s">
        <v>19</v>
      </c>
      <c r="T13" s="80" t="s">
        <v>20</v>
      </c>
      <c r="U13" s="80" t="s">
        <v>21</v>
      </c>
      <c r="V13" s="80" t="s">
        <v>22</v>
      </c>
      <c r="W13" s="80" t="s">
        <v>23</v>
      </c>
      <c r="X13" s="80" t="s">
        <v>24</v>
      </c>
    </row>
    <row r="14" spans="1:24" s="17" customFormat="1" ht="12.75" customHeight="1" x14ac:dyDescent="0.25">
      <c r="A14" s="83">
        <v>1</v>
      </c>
      <c r="B14" s="83">
        <v>2</v>
      </c>
      <c r="C14" s="83">
        <v>3</v>
      </c>
      <c r="D14" s="81">
        <v>4</v>
      </c>
      <c r="E14" s="83">
        <v>5</v>
      </c>
      <c r="F14" s="84">
        <v>6</v>
      </c>
      <c r="G14" s="83">
        <v>7</v>
      </c>
      <c r="H14" s="83">
        <v>8</v>
      </c>
      <c r="I14" s="83">
        <v>9</v>
      </c>
      <c r="J14" s="83">
        <v>10</v>
      </c>
      <c r="K14" s="83">
        <v>11</v>
      </c>
      <c r="L14" s="83">
        <v>12</v>
      </c>
      <c r="M14" s="80"/>
      <c r="N14" s="83">
        <v>14</v>
      </c>
      <c r="O14" s="85">
        <v>15</v>
      </c>
      <c r="P14" s="83">
        <v>16</v>
      </c>
      <c r="Q14" s="83">
        <v>17</v>
      </c>
      <c r="R14" s="83">
        <v>18</v>
      </c>
      <c r="S14" s="83">
        <v>19</v>
      </c>
      <c r="T14" s="83">
        <v>20</v>
      </c>
      <c r="U14" s="83">
        <v>21</v>
      </c>
      <c r="V14" s="83">
        <v>22</v>
      </c>
      <c r="W14" s="83">
        <v>23</v>
      </c>
      <c r="X14" s="83">
        <v>24</v>
      </c>
    </row>
    <row r="15" spans="1:24" s="16" customFormat="1" ht="15.75" x14ac:dyDescent="0.25">
      <c r="A15" s="177" t="s">
        <v>25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</row>
    <row r="16" spans="1:24" ht="72.75" customHeight="1" outlineLevel="1" x14ac:dyDescent="0.25">
      <c r="A16" s="22" t="s">
        <v>26</v>
      </c>
      <c r="B16" s="23" t="s">
        <v>70</v>
      </c>
      <c r="C16" s="111" t="s">
        <v>53</v>
      </c>
      <c r="D16" s="111" t="s">
        <v>50</v>
      </c>
      <c r="E16" s="111" t="s">
        <v>51</v>
      </c>
      <c r="F16" s="22"/>
      <c r="G16" s="22" t="s">
        <v>27</v>
      </c>
      <c r="H16" s="22">
        <v>0</v>
      </c>
      <c r="I16" s="22">
        <v>710000000</v>
      </c>
      <c r="J16" s="22" t="s">
        <v>71</v>
      </c>
      <c r="K16" s="22" t="s">
        <v>72</v>
      </c>
      <c r="L16" s="22" t="s">
        <v>71</v>
      </c>
      <c r="M16" s="22" t="s">
        <v>28</v>
      </c>
      <c r="N16" s="22" t="s">
        <v>77</v>
      </c>
      <c r="O16" s="24">
        <v>100</v>
      </c>
      <c r="P16" s="22">
        <v>112</v>
      </c>
      <c r="Q16" s="111" t="s">
        <v>49</v>
      </c>
      <c r="R16" s="25">
        <v>2901</v>
      </c>
      <c r="S16" s="26">
        <f>115/1.12</f>
        <v>102.67857142857142</v>
      </c>
      <c r="T16" s="26">
        <f>R16*S16</f>
        <v>297870.53571428568</v>
      </c>
      <c r="U16" s="26">
        <f>T16*1.12</f>
        <v>333615</v>
      </c>
      <c r="V16" s="22" t="s">
        <v>30</v>
      </c>
      <c r="W16" s="22">
        <v>2015</v>
      </c>
      <c r="X16" s="22"/>
    </row>
    <row r="17" spans="1:24" ht="84.75" customHeight="1" outlineLevel="1" x14ac:dyDescent="0.25">
      <c r="A17" s="22" t="s">
        <v>29</v>
      </c>
      <c r="B17" s="23" t="s">
        <v>70</v>
      </c>
      <c r="C17" s="111" t="s">
        <v>56</v>
      </c>
      <c r="D17" s="111" t="s">
        <v>60</v>
      </c>
      <c r="E17" s="111" t="s">
        <v>57</v>
      </c>
      <c r="F17" s="22" t="s">
        <v>73</v>
      </c>
      <c r="G17" s="22" t="s">
        <v>74</v>
      </c>
      <c r="H17" s="22">
        <v>0</v>
      </c>
      <c r="I17" s="22">
        <v>710000000</v>
      </c>
      <c r="J17" s="22" t="s">
        <v>71</v>
      </c>
      <c r="K17" s="22" t="s">
        <v>75</v>
      </c>
      <c r="L17" s="22" t="s">
        <v>76</v>
      </c>
      <c r="M17" s="22" t="s">
        <v>28</v>
      </c>
      <c r="N17" s="22" t="s">
        <v>78</v>
      </c>
      <c r="O17" s="24" t="s">
        <v>34</v>
      </c>
      <c r="P17" s="22">
        <v>168</v>
      </c>
      <c r="Q17" s="111" t="s">
        <v>54</v>
      </c>
      <c r="R17" s="27">
        <v>4.5999999999999999E-2</v>
      </c>
      <c r="S17" s="26">
        <v>285000</v>
      </c>
      <c r="T17" s="26">
        <f t="shared" ref="T17:T28" si="0">R17*S17</f>
        <v>13110</v>
      </c>
      <c r="U17" s="26">
        <f t="shared" ref="U17" si="1">T17*1.12</f>
        <v>14683.2</v>
      </c>
      <c r="V17" s="22" t="s">
        <v>30</v>
      </c>
      <c r="W17" s="22">
        <v>2015</v>
      </c>
      <c r="X17" s="22"/>
    </row>
    <row r="18" spans="1:24" s="21" customFormat="1" ht="91.5" customHeight="1" outlineLevel="1" x14ac:dyDescent="0.25">
      <c r="A18" s="22" t="s">
        <v>31</v>
      </c>
      <c r="B18" s="23" t="s">
        <v>70</v>
      </c>
      <c r="C18" s="111" t="s">
        <v>56</v>
      </c>
      <c r="D18" s="111" t="s">
        <v>60</v>
      </c>
      <c r="E18" s="111" t="s">
        <v>57</v>
      </c>
      <c r="F18" s="22" t="s">
        <v>79</v>
      </c>
      <c r="G18" s="22" t="s">
        <v>74</v>
      </c>
      <c r="H18" s="22">
        <v>0</v>
      </c>
      <c r="I18" s="22">
        <v>710000000</v>
      </c>
      <c r="J18" s="22" t="s">
        <v>71</v>
      </c>
      <c r="K18" s="22" t="s">
        <v>75</v>
      </c>
      <c r="L18" s="22" t="s">
        <v>76</v>
      </c>
      <c r="M18" s="22" t="s">
        <v>28</v>
      </c>
      <c r="N18" s="22" t="s">
        <v>78</v>
      </c>
      <c r="O18" s="24" t="s">
        <v>34</v>
      </c>
      <c r="P18" s="22">
        <v>168</v>
      </c>
      <c r="Q18" s="111" t="s">
        <v>54</v>
      </c>
      <c r="R18" s="27">
        <v>0.218</v>
      </c>
      <c r="S18" s="26">
        <v>285000</v>
      </c>
      <c r="T18" s="26">
        <f t="shared" si="0"/>
        <v>62130</v>
      </c>
      <c r="U18" s="26">
        <f t="shared" ref="U18" si="2">T18*1.12</f>
        <v>69585.600000000006</v>
      </c>
      <c r="V18" s="22" t="s">
        <v>30</v>
      </c>
      <c r="W18" s="22">
        <v>2015</v>
      </c>
      <c r="X18" s="22"/>
    </row>
    <row r="19" spans="1:24" s="21" customFormat="1" ht="86.25" customHeight="1" outlineLevel="1" x14ac:dyDescent="0.25">
      <c r="A19" s="22" t="s">
        <v>32</v>
      </c>
      <c r="B19" s="23" t="s">
        <v>70</v>
      </c>
      <c r="C19" s="111" t="s">
        <v>56</v>
      </c>
      <c r="D19" s="111" t="s">
        <v>60</v>
      </c>
      <c r="E19" s="111" t="s">
        <v>57</v>
      </c>
      <c r="F19" s="22" t="s">
        <v>79</v>
      </c>
      <c r="G19" s="22" t="s">
        <v>74</v>
      </c>
      <c r="H19" s="22">
        <v>0</v>
      </c>
      <c r="I19" s="22">
        <v>710000000</v>
      </c>
      <c r="J19" s="22" t="s">
        <v>71</v>
      </c>
      <c r="K19" s="22" t="s">
        <v>75</v>
      </c>
      <c r="L19" s="22" t="s">
        <v>76</v>
      </c>
      <c r="M19" s="22" t="s">
        <v>28</v>
      </c>
      <c r="N19" s="22" t="s">
        <v>78</v>
      </c>
      <c r="O19" s="24" t="s">
        <v>34</v>
      </c>
      <c r="P19" s="22">
        <v>168</v>
      </c>
      <c r="Q19" s="111" t="s">
        <v>54</v>
      </c>
      <c r="R19" s="27">
        <v>0.218</v>
      </c>
      <c r="S19" s="26">
        <v>285000</v>
      </c>
      <c r="T19" s="26">
        <f t="shared" si="0"/>
        <v>62130</v>
      </c>
      <c r="U19" s="26">
        <f t="shared" ref="U19" si="3">T19*1.12</f>
        <v>69585.600000000006</v>
      </c>
      <c r="V19" s="22" t="s">
        <v>30</v>
      </c>
      <c r="W19" s="22">
        <v>2015</v>
      </c>
      <c r="X19" s="22"/>
    </row>
    <row r="20" spans="1:24" s="21" customFormat="1" ht="84.75" customHeight="1" outlineLevel="1" x14ac:dyDescent="0.25">
      <c r="A20" s="22" t="s">
        <v>33</v>
      </c>
      <c r="B20" s="23" t="s">
        <v>70</v>
      </c>
      <c r="C20" s="111" t="s">
        <v>80</v>
      </c>
      <c r="D20" s="111" t="s">
        <v>52</v>
      </c>
      <c r="E20" s="111" t="s">
        <v>59</v>
      </c>
      <c r="F20" s="22" t="s">
        <v>81</v>
      </c>
      <c r="G20" s="22" t="s">
        <v>74</v>
      </c>
      <c r="H20" s="22">
        <v>0</v>
      </c>
      <c r="I20" s="22">
        <v>710000000</v>
      </c>
      <c r="J20" s="22" t="s">
        <v>71</v>
      </c>
      <c r="K20" s="22" t="s">
        <v>75</v>
      </c>
      <c r="L20" s="22" t="s">
        <v>76</v>
      </c>
      <c r="M20" s="22" t="s">
        <v>28</v>
      </c>
      <c r="N20" s="22" t="s">
        <v>78</v>
      </c>
      <c r="O20" s="24" t="s">
        <v>34</v>
      </c>
      <c r="P20" s="22">
        <v>168</v>
      </c>
      <c r="Q20" s="111" t="s">
        <v>54</v>
      </c>
      <c r="R20" s="27">
        <v>1.2E-2</v>
      </c>
      <c r="S20" s="26">
        <v>400000</v>
      </c>
      <c r="T20" s="26">
        <f t="shared" si="0"/>
        <v>4800</v>
      </c>
      <c r="U20" s="26">
        <f t="shared" ref="U20" si="4">T20*1.12</f>
        <v>5376.0000000000009</v>
      </c>
      <c r="V20" s="22" t="s">
        <v>30</v>
      </c>
      <c r="W20" s="22">
        <v>2015</v>
      </c>
      <c r="X20" s="22"/>
    </row>
    <row r="21" spans="1:24" s="21" customFormat="1" ht="90" customHeight="1" outlineLevel="1" x14ac:dyDescent="0.25">
      <c r="A21" s="22" t="s">
        <v>35</v>
      </c>
      <c r="B21" s="23" t="s">
        <v>70</v>
      </c>
      <c r="C21" s="111" t="s">
        <v>80</v>
      </c>
      <c r="D21" s="111" t="s">
        <v>52</v>
      </c>
      <c r="E21" s="111" t="s">
        <v>59</v>
      </c>
      <c r="F21" s="22" t="s">
        <v>82</v>
      </c>
      <c r="G21" s="22" t="s">
        <v>74</v>
      </c>
      <c r="H21" s="22">
        <v>0</v>
      </c>
      <c r="I21" s="22">
        <v>710000000</v>
      </c>
      <c r="J21" s="22" t="s">
        <v>71</v>
      </c>
      <c r="K21" s="22" t="s">
        <v>75</v>
      </c>
      <c r="L21" s="22" t="s">
        <v>76</v>
      </c>
      <c r="M21" s="22" t="s">
        <v>28</v>
      </c>
      <c r="N21" s="22" t="s">
        <v>78</v>
      </c>
      <c r="O21" s="24" t="s">
        <v>34</v>
      </c>
      <c r="P21" s="22">
        <v>168</v>
      </c>
      <c r="Q21" s="111" t="s">
        <v>54</v>
      </c>
      <c r="R21" s="27">
        <f>0.02+0.02</f>
        <v>0.04</v>
      </c>
      <c r="S21" s="26">
        <v>400000</v>
      </c>
      <c r="T21" s="26">
        <f t="shared" si="0"/>
        <v>16000</v>
      </c>
      <c r="U21" s="26">
        <f t="shared" ref="U21" si="5">T21*1.12</f>
        <v>17920</v>
      </c>
      <c r="V21" s="22" t="s">
        <v>30</v>
      </c>
      <c r="W21" s="22">
        <v>2015</v>
      </c>
      <c r="X21" s="22"/>
    </row>
    <row r="22" spans="1:24" s="21" customFormat="1" ht="81.75" customHeight="1" outlineLevel="1" x14ac:dyDescent="0.25">
      <c r="A22" s="22" t="s">
        <v>36</v>
      </c>
      <c r="B22" s="23" t="s">
        <v>70</v>
      </c>
      <c r="C22" s="111" t="s">
        <v>84</v>
      </c>
      <c r="D22" s="111" t="s">
        <v>55</v>
      </c>
      <c r="E22" s="111" t="s">
        <v>83</v>
      </c>
      <c r="F22" s="22" t="s">
        <v>85</v>
      </c>
      <c r="G22" s="22" t="s">
        <v>74</v>
      </c>
      <c r="H22" s="22">
        <v>0</v>
      </c>
      <c r="I22" s="22">
        <v>710000000</v>
      </c>
      <c r="J22" s="22" t="s">
        <v>71</v>
      </c>
      <c r="K22" s="22" t="s">
        <v>75</v>
      </c>
      <c r="L22" s="22" t="s">
        <v>76</v>
      </c>
      <c r="M22" s="22" t="s">
        <v>28</v>
      </c>
      <c r="N22" s="22" t="s">
        <v>78</v>
      </c>
      <c r="O22" s="24" t="s">
        <v>34</v>
      </c>
      <c r="P22" s="22">
        <v>168</v>
      </c>
      <c r="Q22" s="111" t="s">
        <v>54</v>
      </c>
      <c r="R22" s="27">
        <v>5.0000000000000001E-3</v>
      </c>
      <c r="S22" s="26">
        <v>450000</v>
      </c>
      <c r="T22" s="26">
        <f t="shared" si="0"/>
        <v>2250</v>
      </c>
      <c r="U22" s="26">
        <f t="shared" ref="U22" si="6">T22*1.12</f>
        <v>2520.0000000000005</v>
      </c>
      <c r="V22" s="22" t="s">
        <v>30</v>
      </c>
      <c r="W22" s="22">
        <v>2015</v>
      </c>
      <c r="X22" s="22"/>
    </row>
    <row r="23" spans="1:24" s="21" customFormat="1" ht="84.75" customHeight="1" outlineLevel="1" x14ac:dyDescent="0.25">
      <c r="A23" s="22" t="s">
        <v>37</v>
      </c>
      <c r="B23" s="23" t="s">
        <v>70</v>
      </c>
      <c r="C23" s="111" t="s">
        <v>84</v>
      </c>
      <c r="D23" s="111" t="s">
        <v>55</v>
      </c>
      <c r="E23" s="111" t="s">
        <v>83</v>
      </c>
      <c r="F23" s="22" t="s">
        <v>86</v>
      </c>
      <c r="G23" s="22" t="s">
        <v>74</v>
      </c>
      <c r="H23" s="22">
        <v>0</v>
      </c>
      <c r="I23" s="22">
        <v>710000000</v>
      </c>
      <c r="J23" s="22" t="s">
        <v>71</v>
      </c>
      <c r="K23" s="22" t="s">
        <v>75</v>
      </c>
      <c r="L23" s="22" t="s">
        <v>76</v>
      </c>
      <c r="M23" s="22" t="s">
        <v>28</v>
      </c>
      <c r="N23" s="22" t="s">
        <v>78</v>
      </c>
      <c r="O23" s="24" t="s">
        <v>34</v>
      </c>
      <c r="P23" s="22">
        <v>168</v>
      </c>
      <c r="Q23" s="111" t="s">
        <v>54</v>
      </c>
      <c r="R23" s="27">
        <f>0.005+0.003</f>
        <v>8.0000000000000002E-3</v>
      </c>
      <c r="S23" s="26">
        <v>450000</v>
      </c>
      <c r="T23" s="26">
        <f t="shared" si="0"/>
        <v>3600</v>
      </c>
      <c r="U23" s="26">
        <f t="shared" ref="U23" si="7">T23*1.12</f>
        <v>4032.0000000000005</v>
      </c>
      <c r="V23" s="22" t="s">
        <v>30</v>
      </c>
      <c r="W23" s="22">
        <v>2015</v>
      </c>
      <c r="X23" s="22"/>
    </row>
    <row r="24" spans="1:24" s="21" customFormat="1" ht="84" customHeight="1" outlineLevel="1" x14ac:dyDescent="0.25">
      <c r="A24" s="22" t="s">
        <v>38</v>
      </c>
      <c r="B24" s="23" t="s">
        <v>70</v>
      </c>
      <c r="C24" s="111" t="s">
        <v>84</v>
      </c>
      <c r="D24" s="111" t="s">
        <v>61</v>
      </c>
      <c r="E24" s="111" t="s">
        <v>58</v>
      </c>
      <c r="F24" s="22" t="s">
        <v>87</v>
      </c>
      <c r="G24" s="22" t="s">
        <v>74</v>
      </c>
      <c r="H24" s="22">
        <v>0</v>
      </c>
      <c r="I24" s="22">
        <v>710000000</v>
      </c>
      <c r="J24" s="22" t="s">
        <v>71</v>
      </c>
      <c r="K24" s="22" t="s">
        <v>75</v>
      </c>
      <c r="L24" s="22" t="s">
        <v>76</v>
      </c>
      <c r="M24" s="22" t="s">
        <v>28</v>
      </c>
      <c r="N24" s="22" t="s">
        <v>78</v>
      </c>
      <c r="O24" s="24" t="s">
        <v>34</v>
      </c>
      <c r="P24" s="22">
        <v>168</v>
      </c>
      <c r="Q24" s="111" t="s">
        <v>54</v>
      </c>
      <c r="R24" s="27">
        <v>0.23</v>
      </c>
      <c r="S24" s="26">
        <v>265000</v>
      </c>
      <c r="T24" s="26">
        <f t="shared" si="0"/>
        <v>60950</v>
      </c>
      <c r="U24" s="26">
        <f t="shared" ref="U24" si="8">T24*1.12</f>
        <v>68264</v>
      </c>
      <c r="V24" s="22" t="s">
        <v>30</v>
      </c>
      <c r="W24" s="22">
        <v>2015</v>
      </c>
      <c r="X24" s="22"/>
    </row>
    <row r="25" spans="1:24" s="21" customFormat="1" ht="84" customHeight="1" outlineLevel="1" x14ac:dyDescent="0.25">
      <c r="A25" s="22" t="s">
        <v>39</v>
      </c>
      <c r="B25" s="23" t="s">
        <v>70</v>
      </c>
      <c r="C25" s="111" t="s">
        <v>84</v>
      </c>
      <c r="D25" s="111" t="s">
        <v>61</v>
      </c>
      <c r="E25" s="111" t="s">
        <v>58</v>
      </c>
      <c r="F25" s="22" t="s">
        <v>88</v>
      </c>
      <c r="G25" s="22" t="s">
        <v>74</v>
      </c>
      <c r="H25" s="22">
        <v>0</v>
      </c>
      <c r="I25" s="22">
        <v>710000000</v>
      </c>
      <c r="J25" s="22" t="s">
        <v>71</v>
      </c>
      <c r="K25" s="22" t="s">
        <v>75</v>
      </c>
      <c r="L25" s="22" t="s">
        <v>76</v>
      </c>
      <c r="M25" s="22" t="s">
        <v>28</v>
      </c>
      <c r="N25" s="22" t="s">
        <v>78</v>
      </c>
      <c r="O25" s="24" t="s">
        <v>34</v>
      </c>
      <c r="P25" s="22">
        <v>168</v>
      </c>
      <c r="Q25" s="111" t="s">
        <v>54</v>
      </c>
      <c r="R25" s="27">
        <v>0.186</v>
      </c>
      <c r="S25" s="26">
        <v>265000</v>
      </c>
      <c r="T25" s="26">
        <f t="shared" si="0"/>
        <v>49290</v>
      </c>
      <c r="U25" s="26">
        <f t="shared" ref="U25" si="9">T25*1.12</f>
        <v>55204.800000000003</v>
      </c>
      <c r="V25" s="22" t="s">
        <v>30</v>
      </c>
      <c r="W25" s="22">
        <v>2015</v>
      </c>
      <c r="X25" s="22"/>
    </row>
    <row r="26" spans="1:24" s="21" customFormat="1" ht="84.75" customHeight="1" outlineLevel="1" x14ac:dyDescent="0.25">
      <c r="A26" s="22" t="s">
        <v>40</v>
      </c>
      <c r="B26" s="23" t="s">
        <v>70</v>
      </c>
      <c r="C26" s="111" t="s">
        <v>90</v>
      </c>
      <c r="D26" s="111" t="s">
        <v>64</v>
      </c>
      <c r="E26" s="111" t="s">
        <v>89</v>
      </c>
      <c r="F26" s="22" t="s">
        <v>88</v>
      </c>
      <c r="G26" s="22" t="s">
        <v>74</v>
      </c>
      <c r="H26" s="22">
        <v>0</v>
      </c>
      <c r="I26" s="22">
        <v>710000000</v>
      </c>
      <c r="J26" s="22" t="s">
        <v>71</v>
      </c>
      <c r="K26" s="22" t="s">
        <v>75</v>
      </c>
      <c r="L26" s="22" t="s">
        <v>76</v>
      </c>
      <c r="M26" s="22" t="s">
        <v>28</v>
      </c>
      <c r="N26" s="22" t="s">
        <v>78</v>
      </c>
      <c r="O26" s="24" t="s">
        <v>34</v>
      </c>
      <c r="P26" s="22">
        <v>796</v>
      </c>
      <c r="Q26" s="111" t="s">
        <v>62</v>
      </c>
      <c r="R26" s="27">
        <v>100</v>
      </c>
      <c r="S26" s="26">
        <v>331</v>
      </c>
      <c r="T26" s="26">
        <f t="shared" si="0"/>
        <v>33100</v>
      </c>
      <c r="U26" s="26">
        <f t="shared" ref="U26" si="10">T26*1.12</f>
        <v>37072</v>
      </c>
      <c r="V26" s="22" t="s">
        <v>30</v>
      </c>
      <c r="W26" s="22">
        <v>2015</v>
      </c>
      <c r="X26" s="22"/>
    </row>
    <row r="27" spans="1:24" s="21" customFormat="1" ht="87" customHeight="1" outlineLevel="1" x14ac:dyDescent="0.25">
      <c r="A27" s="22" t="s">
        <v>41</v>
      </c>
      <c r="B27" s="23" t="s">
        <v>70</v>
      </c>
      <c r="C27" s="111" t="s">
        <v>68</v>
      </c>
      <c r="D27" s="111" t="s">
        <v>63</v>
      </c>
      <c r="E27" s="111" t="s">
        <v>69</v>
      </c>
      <c r="F27" s="22"/>
      <c r="G27" s="22" t="s">
        <v>74</v>
      </c>
      <c r="H27" s="22">
        <v>0</v>
      </c>
      <c r="I27" s="22">
        <v>710000000</v>
      </c>
      <c r="J27" s="22" t="s">
        <v>71</v>
      </c>
      <c r="K27" s="22" t="s">
        <v>75</v>
      </c>
      <c r="L27" s="22" t="s">
        <v>76</v>
      </c>
      <c r="M27" s="22" t="s">
        <v>28</v>
      </c>
      <c r="N27" s="22" t="s">
        <v>78</v>
      </c>
      <c r="O27" s="24" t="s">
        <v>34</v>
      </c>
      <c r="P27" s="22">
        <v>168</v>
      </c>
      <c r="Q27" s="111" t="s">
        <v>54</v>
      </c>
      <c r="R27" s="27">
        <v>0.16</v>
      </c>
      <c r="S27" s="26">
        <v>280000</v>
      </c>
      <c r="T27" s="26">
        <f t="shared" si="0"/>
        <v>44800</v>
      </c>
      <c r="U27" s="26">
        <f t="shared" ref="U27" si="11">T27*1.12</f>
        <v>50176.000000000007</v>
      </c>
      <c r="V27" s="22" t="s">
        <v>30</v>
      </c>
      <c r="W27" s="22">
        <v>2015</v>
      </c>
      <c r="X27" s="22"/>
    </row>
    <row r="28" spans="1:24" s="21" customFormat="1" ht="84.75" customHeight="1" outlineLevel="1" x14ac:dyDescent="0.25">
      <c r="A28" s="22" t="s">
        <v>107</v>
      </c>
      <c r="B28" s="23" t="s">
        <v>70</v>
      </c>
      <c r="C28" s="111" t="s">
        <v>93</v>
      </c>
      <c r="D28" s="111" t="s">
        <v>91</v>
      </c>
      <c r="E28" s="111" t="s">
        <v>92</v>
      </c>
      <c r="F28" s="22" t="s">
        <v>94</v>
      </c>
      <c r="G28" s="22" t="s">
        <v>74</v>
      </c>
      <c r="H28" s="22">
        <v>0</v>
      </c>
      <c r="I28" s="22">
        <v>710000000</v>
      </c>
      <c r="J28" s="22" t="s">
        <v>71</v>
      </c>
      <c r="K28" s="22" t="s">
        <v>75</v>
      </c>
      <c r="L28" s="22" t="s">
        <v>76</v>
      </c>
      <c r="M28" s="22" t="s">
        <v>28</v>
      </c>
      <c r="N28" s="22" t="s">
        <v>78</v>
      </c>
      <c r="O28" s="24" t="s">
        <v>34</v>
      </c>
      <c r="P28" s="22">
        <v>168</v>
      </c>
      <c r="Q28" s="111" t="s">
        <v>54</v>
      </c>
      <c r="R28" s="27">
        <v>0.2</v>
      </c>
      <c r="S28" s="26">
        <v>290000</v>
      </c>
      <c r="T28" s="26">
        <f t="shared" si="0"/>
        <v>58000</v>
      </c>
      <c r="U28" s="26">
        <f t="shared" ref="U28" si="12">T28*1.12</f>
        <v>64960.000000000007</v>
      </c>
      <c r="V28" s="22" t="s">
        <v>30</v>
      </c>
      <c r="W28" s="22">
        <v>2015</v>
      </c>
      <c r="X28" s="22"/>
    </row>
    <row r="29" spans="1:24" s="21" customFormat="1" ht="86.25" customHeight="1" outlineLevel="1" x14ac:dyDescent="0.25">
      <c r="A29" s="22" t="s">
        <v>108</v>
      </c>
      <c r="B29" s="23" t="s">
        <v>70</v>
      </c>
      <c r="C29" s="111" t="s">
        <v>93</v>
      </c>
      <c r="D29" s="111" t="s">
        <v>91</v>
      </c>
      <c r="E29" s="111" t="s">
        <v>92</v>
      </c>
      <c r="F29" s="22" t="s">
        <v>95</v>
      </c>
      <c r="G29" s="22" t="s">
        <v>74</v>
      </c>
      <c r="H29" s="22">
        <v>0</v>
      </c>
      <c r="I29" s="22">
        <v>710000000</v>
      </c>
      <c r="J29" s="22" t="s">
        <v>71</v>
      </c>
      <c r="K29" s="22" t="s">
        <v>75</v>
      </c>
      <c r="L29" s="22" t="s">
        <v>76</v>
      </c>
      <c r="M29" s="22" t="s">
        <v>28</v>
      </c>
      <c r="N29" s="22" t="s">
        <v>78</v>
      </c>
      <c r="O29" s="24" t="s">
        <v>34</v>
      </c>
      <c r="P29" s="22">
        <v>168</v>
      </c>
      <c r="Q29" s="111" t="s">
        <v>54</v>
      </c>
      <c r="R29" s="27">
        <v>0.05</v>
      </c>
      <c r="S29" s="26">
        <v>290000</v>
      </c>
      <c r="T29" s="26">
        <f t="shared" ref="T29" si="13">R29*S29</f>
        <v>14500</v>
      </c>
      <c r="U29" s="26">
        <f t="shared" ref="U29" si="14">T29*1.12</f>
        <v>16240.000000000002</v>
      </c>
      <c r="V29" s="22" t="s">
        <v>30</v>
      </c>
      <c r="W29" s="22">
        <v>2015</v>
      </c>
      <c r="X29" s="22"/>
    </row>
    <row r="30" spans="1:24" s="21" customFormat="1" ht="86.25" customHeight="1" outlineLevel="1" x14ac:dyDescent="0.25">
      <c r="A30" s="22" t="s">
        <v>109</v>
      </c>
      <c r="B30" s="23" t="s">
        <v>70</v>
      </c>
      <c r="C30" s="111" t="s">
        <v>98</v>
      </c>
      <c r="D30" s="111" t="s">
        <v>96</v>
      </c>
      <c r="E30" s="111" t="s">
        <v>97</v>
      </c>
      <c r="F30" s="22"/>
      <c r="G30" s="22" t="s">
        <v>74</v>
      </c>
      <c r="H30" s="22">
        <v>0</v>
      </c>
      <c r="I30" s="22">
        <v>710000000</v>
      </c>
      <c r="J30" s="22" t="s">
        <v>71</v>
      </c>
      <c r="K30" s="22" t="s">
        <v>75</v>
      </c>
      <c r="L30" s="22" t="s">
        <v>76</v>
      </c>
      <c r="M30" s="22" t="s">
        <v>28</v>
      </c>
      <c r="N30" s="22" t="s">
        <v>78</v>
      </c>
      <c r="O30" s="24" t="s">
        <v>34</v>
      </c>
      <c r="P30" s="22">
        <v>796</v>
      </c>
      <c r="Q30" s="111" t="s">
        <v>62</v>
      </c>
      <c r="R30" s="27">
        <v>80</v>
      </c>
      <c r="S30" s="26">
        <v>5000</v>
      </c>
      <c r="T30" s="26">
        <f t="shared" ref="T30" si="15">R30*S30</f>
        <v>400000</v>
      </c>
      <c r="U30" s="26">
        <f t="shared" ref="U30" si="16">T30*1.12</f>
        <v>448000.00000000006</v>
      </c>
      <c r="V30" s="22" t="s">
        <v>30</v>
      </c>
      <c r="W30" s="22">
        <v>2015</v>
      </c>
      <c r="X30" s="22"/>
    </row>
    <row r="31" spans="1:24" s="21" customFormat="1" ht="84.75" customHeight="1" outlineLevel="1" x14ac:dyDescent="0.25">
      <c r="A31" s="22" t="s">
        <v>110</v>
      </c>
      <c r="B31" s="23" t="s">
        <v>70</v>
      </c>
      <c r="C31" s="111" t="s">
        <v>100</v>
      </c>
      <c r="D31" s="111" t="s">
        <v>52</v>
      </c>
      <c r="E31" s="111" t="s">
        <v>99</v>
      </c>
      <c r="F31" s="22"/>
      <c r="G31" s="22" t="s">
        <v>74</v>
      </c>
      <c r="H31" s="22">
        <v>0</v>
      </c>
      <c r="I31" s="22">
        <v>710000000</v>
      </c>
      <c r="J31" s="22" t="s">
        <v>71</v>
      </c>
      <c r="K31" s="22" t="s">
        <v>75</v>
      </c>
      <c r="L31" s="22" t="s">
        <v>76</v>
      </c>
      <c r="M31" s="22" t="s">
        <v>28</v>
      </c>
      <c r="N31" s="22" t="s">
        <v>78</v>
      </c>
      <c r="O31" s="24" t="s">
        <v>34</v>
      </c>
      <c r="P31" s="22">
        <v>168</v>
      </c>
      <c r="Q31" s="111" t="s">
        <v>54</v>
      </c>
      <c r="R31" s="27">
        <v>0.1</v>
      </c>
      <c r="S31" s="26">
        <v>400000</v>
      </c>
      <c r="T31" s="26">
        <f t="shared" ref="T31" si="17">R31*S31</f>
        <v>40000</v>
      </c>
      <c r="U31" s="26">
        <f t="shared" ref="U31" si="18">T31*1.12</f>
        <v>44800.000000000007</v>
      </c>
      <c r="V31" s="22" t="s">
        <v>30</v>
      </c>
      <c r="W31" s="22">
        <v>2015</v>
      </c>
      <c r="X31" s="22"/>
    </row>
    <row r="32" spans="1:24" s="21" customFormat="1" ht="84" customHeight="1" outlineLevel="1" x14ac:dyDescent="0.25">
      <c r="A32" s="22" t="s">
        <v>111</v>
      </c>
      <c r="B32" s="23" t="s">
        <v>70</v>
      </c>
      <c r="C32" s="111" t="s">
        <v>102</v>
      </c>
      <c r="D32" s="111" t="s">
        <v>55</v>
      </c>
      <c r="E32" s="111" t="s">
        <v>101</v>
      </c>
      <c r="F32" s="22" t="s">
        <v>106</v>
      </c>
      <c r="G32" s="22" t="s">
        <v>74</v>
      </c>
      <c r="H32" s="22">
        <v>0</v>
      </c>
      <c r="I32" s="22">
        <v>710000000</v>
      </c>
      <c r="J32" s="22" t="s">
        <v>71</v>
      </c>
      <c r="K32" s="22" t="s">
        <v>75</v>
      </c>
      <c r="L32" s="22" t="s">
        <v>76</v>
      </c>
      <c r="M32" s="22" t="s">
        <v>28</v>
      </c>
      <c r="N32" s="22" t="s">
        <v>78</v>
      </c>
      <c r="O32" s="24" t="s">
        <v>34</v>
      </c>
      <c r="P32" s="22">
        <v>168</v>
      </c>
      <c r="Q32" s="111" t="s">
        <v>54</v>
      </c>
      <c r="R32" s="27">
        <v>0.01</v>
      </c>
      <c r="S32" s="26">
        <v>450000</v>
      </c>
      <c r="T32" s="26">
        <f t="shared" ref="T32" si="19">R32*S32</f>
        <v>4500</v>
      </c>
      <c r="U32" s="26">
        <f t="shared" ref="U32" si="20">T32*1.12</f>
        <v>5040.0000000000009</v>
      </c>
      <c r="V32" s="22" t="s">
        <v>30</v>
      </c>
      <c r="W32" s="22">
        <v>2015</v>
      </c>
      <c r="X32" s="22"/>
    </row>
    <row r="33" spans="1:24" s="21" customFormat="1" ht="84.75" customHeight="1" outlineLevel="1" x14ac:dyDescent="0.25">
      <c r="A33" s="22" t="s">
        <v>112</v>
      </c>
      <c r="B33" s="23" t="s">
        <v>70</v>
      </c>
      <c r="C33" s="111" t="s">
        <v>104</v>
      </c>
      <c r="D33" s="111" t="s">
        <v>52</v>
      </c>
      <c r="E33" s="111" t="s">
        <v>103</v>
      </c>
      <c r="F33" s="22" t="s">
        <v>150</v>
      </c>
      <c r="G33" s="22" t="s">
        <v>74</v>
      </c>
      <c r="H33" s="22">
        <v>0</v>
      </c>
      <c r="I33" s="22">
        <v>710000000</v>
      </c>
      <c r="J33" s="22" t="s">
        <v>71</v>
      </c>
      <c r="K33" s="22" t="s">
        <v>75</v>
      </c>
      <c r="L33" s="22" t="s">
        <v>76</v>
      </c>
      <c r="M33" s="22" t="s">
        <v>28</v>
      </c>
      <c r="N33" s="22" t="s">
        <v>78</v>
      </c>
      <c r="O33" s="24" t="s">
        <v>34</v>
      </c>
      <c r="P33" s="22">
        <v>166</v>
      </c>
      <c r="Q33" s="111" t="s">
        <v>105</v>
      </c>
      <c r="R33" s="27">
        <v>30</v>
      </c>
      <c r="S33" s="26">
        <v>450</v>
      </c>
      <c r="T33" s="26">
        <f t="shared" ref="T33" si="21">R33*S33</f>
        <v>13500</v>
      </c>
      <c r="U33" s="26">
        <f t="shared" ref="U33" si="22">T33*1.12</f>
        <v>15120.000000000002</v>
      </c>
      <c r="V33" s="22" t="s">
        <v>30</v>
      </c>
      <c r="W33" s="22">
        <v>2015</v>
      </c>
      <c r="X33" s="22"/>
    </row>
    <row r="34" spans="1:24" s="21" customFormat="1" ht="82.5" customHeight="1" outlineLevel="1" x14ac:dyDescent="0.25">
      <c r="A34" s="22" t="s">
        <v>132</v>
      </c>
      <c r="B34" s="23" t="s">
        <v>70</v>
      </c>
      <c r="C34" s="111" t="s">
        <v>115</v>
      </c>
      <c r="D34" s="111" t="s">
        <v>113</v>
      </c>
      <c r="E34" s="111" t="s">
        <v>114</v>
      </c>
      <c r="F34" s="22"/>
      <c r="G34" s="22" t="s">
        <v>74</v>
      </c>
      <c r="H34" s="22">
        <v>0</v>
      </c>
      <c r="I34" s="22">
        <v>710000000</v>
      </c>
      <c r="J34" s="22" t="s">
        <v>71</v>
      </c>
      <c r="K34" s="22" t="s">
        <v>75</v>
      </c>
      <c r="L34" s="22" t="s">
        <v>76</v>
      </c>
      <c r="M34" s="22" t="s">
        <v>28</v>
      </c>
      <c r="N34" s="22" t="s">
        <v>78</v>
      </c>
      <c r="O34" s="24" t="s">
        <v>34</v>
      </c>
      <c r="P34" s="22">
        <v>168</v>
      </c>
      <c r="Q34" s="111" t="s">
        <v>54</v>
      </c>
      <c r="R34" s="27">
        <v>0.01</v>
      </c>
      <c r="S34" s="26">
        <v>285700</v>
      </c>
      <c r="T34" s="26">
        <f t="shared" ref="T34" si="23">R34*S34</f>
        <v>2857</v>
      </c>
      <c r="U34" s="26">
        <f t="shared" ref="U34" si="24">T34*1.12</f>
        <v>3199.84</v>
      </c>
      <c r="V34" s="22" t="s">
        <v>30</v>
      </c>
      <c r="W34" s="22">
        <v>2015</v>
      </c>
      <c r="X34" s="22"/>
    </row>
    <row r="35" spans="1:24" s="21" customFormat="1" ht="99.75" customHeight="1" outlineLevel="1" x14ac:dyDescent="0.25">
      <c r="A35" s="22" t="s">
        <v>133</v>
      </c>
      <c r="B35" s="23" t="s">
        <v>70</v>
      </c>
      <c r="C35" s="111" t="s">
        <v>120</v>
      </c>
      <c r="D35" s="111" t="s">
        <v>118</v>
      </c>
      <c r="E35" s="111" t="s">
        <v>119</v>
      </c>
      <c r="F35" s="22" t="s">
        <v>123</v>
      </c>
      <c r="G35" s="22" t="s">
        <v>74</v>
      </c>
      <c r="H35" s="22">
        <v>0</v>
      </c>
      <c r="I35" s="22">
        <v>710000000</v>
      </c>
      <c r="J35" s="22" t="s">
        <v>71</v>
      </c>
      <c r="K35" s="22" t="s">
        <v>75</v>
      </c>
      <c r="L35" s="22" t="s">
        <v>76</v>
      </c>
      <c r="M35" s="22" t="s">
        <v>28</v>
      </c>
      <c r="N35" s="22" t="s">
        <v>78</v>
      </c>
      <c r="O35" s="24" t="s">
        <v>34</v>
      </c>
      <c r="P35" s="22">
        <v>839</v>
      </c>
      <c r="Q35" s="111" t="s">
        <v>117</v>
      </c>
      <c r="R35" s="27">
        <v>1</v>
      </c>
      <c r="S35" s="26">
        <v>810000</v>
      </c>
      <c r="T35" s="26">
        <f t="shared" ref="T35" si="25">R35*S35</f>
        <v>810000</v>
      </c>
      <c r="U35" s="26">
        <f t="shared" ref="U35" si="26">T35*1.12</f>
        <v>907200.00000000012</v>
      </c>
      <c r="V35" s="22" t="s">
        <v>30</v>
      </c>
      <c r="W35" s="22">
        <v>2015</v>
      </c>
      <c r="X35" s="22"/>
    </row>
    <row r="36" spans="1:24" s="21" customFormat="1" ht="86.25" customHeight="1" outlineLevel="1" x14ac:dyDescent="0.25">
      <c r="A36" s="22" t="s">
        <v>134</v>
      </c>
      <c r="B36" s="23" t="s">
        <v>70</v>
      </c>
      <c r="C36" s="111" t="s">
        <v>125</v>
      </c>
      <c r="D36" s="111" t="s">
        <v>121</v>
      </c>
      <c r="E36" s="111" t="s">
        <v>122</v>
      </c>
      <c r="F36" s="22" t="s">
        <v>124</v>
      </c>
      <c r="G36" s="22" t="s">
        <v>74</v>
      </c>
      <c r="H36" s="22">
        <v>0</v>
      </c>
      <c r="I36" s="22">
        <v>710000000</v>
      </c>
      <c r="J36" s="22" t="s">
        <v>71</v>
      </c>
      <c r="K36" s="22" t="s">
        <v>75</v>
      </c>
      <c r="L36" s="22" t="s">
        <v>76</v>
      </c>
      <c r="M36" s="22" t="s">
        <v>28</v>
      </c>
      <c r="N36" s="22" t="s">
        <v>78</v>
      </c>
      <c r="O36" s="24" t="s">
        <v>34</v>
      </c>
      <c r="P36" s="22">
        <v>796</v>
      </c>
      <c r="Q36" s="111" t="s">
        <v>62</v>
      </c>
      <c r="R36" s="27">
        <v>1</v>
      </c>
      <c r="S36" s="26">
        <v>1450000</v>
      </c>
      <c r="T36" s="26">
        <f t="shared" ref="T36" si="27">R36*S36</f>
        <v>1450000</v>
      </c>
      <c r="U36" s="26">
        <f t="shared" ref="U36" si="28">T36*1.12</f>
        <v>1624000.0000000002</v>
      </c>
      <c r="V36" s="22" t="s">
        <v>30</v>
      </c>
      <c r="W36" s="22">
        <v>2015</v>
      </c>
      <c r="X36" s="22"/>
    </row>
    <row r="37" spans="1:24" s="21" customFormat="1" ht="84" customHeight="1" outlineLevel="1" x14ac:dyDescent="0.25">
      <c r="A37" s="22" t="s">
        <v>135</v>
      </c>
      <c r="B37" s="23" t="s">
        <v>70</v>
      </c>
      <c r="C37" s="111" t="s">
        <v>128</v>
      </c>
      <c r="D37" s="111" t="s">
        <v>126</v>
      </c>
      <c r="E37" s="111" t="s">
        <v>127</v>
      </c>
      <c r="F37" s="22"/>
      <c r="G37" s="22" t="s">
        <v>74</v>
      </c>
      <c r="H37" s="22">
        <v>0</v>
      </c>
      <c r="I37" s="22">
        <v>710000000</v>
      </c>
      <c r="J37" s="22" t="s">
        <v>71</v>
      </c>
      <c r="K37" s="22" t="s">
        <v>75</v>
      </c>
      <c r="L37" s="22" t="s">
        <v>76</v>
      </c>
      <c r="M37" s="22" t="s">
        <v>28</v>
      </c>
      <c r="N37" s="22" t="s">
        <v>78</v>
      </c>
      <c r="O37" s="24" t="s">
        <v>34</v>
      </c>
      <c r="P37" s="22">
        <v>839</v>
      </c>
      <c r="Q37" s="111" t="s">
        <v>117</v>
      </c>
      <c r="R37" s="27">
        <v>1</v>
      </c>
      <c r="S37" s="26">
        <v>1500000</v>
      </c>
      <c r="T37" s="26">
        <f t="shared" ref="T37" si="29">R37*S37</f>
        <v>1500000</v>
      </c>
      <c r="U37" s="26">
        <f t="shared" ref="U37" si="30">T37*1.12</f>
        <v>1680000.0000000002</v>
      </c>
      <c r="V37" s="22" t="s">
        <v>30</v>
      </c>
      <c r="W37" s="22">
        <v>2015</v>
      </c>
      <c r="X37" s="22"/>
    </row>
    <row r="38" spans="1:24" s="21" customFormat="1" ht="84.75" customHeight="1" outlineLevel="1" x14ac:dyDescent="0.25">
      <c r="A38" s="22" t="s">
        <v>136</v>
      </c>
      <c r="B38" s="23" t="s">
        <v>70</v>
      </c>
      <c r="C38" s="111" t="s">
        <v>131</v>
      </c>
      <c r="D38" s="111" t="s">
        <v>129</v>
      </c>
      <c r="E38" s="111" t="s">
        <v>130</v>
      </c>
      <c r="F38" s="22"/>
      <c r="G38" s="22" t="s">
        <v>27</v>
      </c>
      <c r="H38" s="22">
        <v>0</v>
      </c>
      <c r="I38" s="22">
        <v>710000000</v>
      </c>
      <c r="J38" s="22" t="s">
        <v>71</v>
      </c>
      <c r="K38" s="22" t="s">
        <v>75</v>
      </c>
      <c r="L38" s="22" t="s">
        <v>76</v>
      </c>
      <c r="M38" s="22" t="s">
        <v>28</v>
      </c>
      <c r="N38" s="22" t="s">
        <v>78</v>
      </c>
      <c r="O38" s="24" t="s">
        <v>34</v>
      </c>
      <c r="P38" s="22">
        <v>168</v>
      </c>
      <c r="Q38" s="111" t="s">
        <v>54</v>
      </c>
      <c r="R38" s="27">
        <v>8.9999999999999993E-3</v>
      </c>
      <c r="S38" s="26">
        <v>600000</v>
      </c>
      <c r="T38" s="26">
        <f t="shared" ref="T38" si="31">R38*S38</f>
        <v>5400</v>
      </c>
      <c r="U38" s="26">
        <f t="shared" ref="U38" si="32">T38*1.12</f>
        <v>6048.0000000000009</v>
      </c>
      <c r="V38" s="22" t="s">
        <v>30</v>
      </c>
      <c r="W38" s="22">
        <v>2015</v>
      </c>
      <c r="X38" s="22"/>
    </row>
    <row r="39" spans="1:24" s="21" customFormat="1" ht="81.75" customHeight="1" outlineLevel="1" x14ac:dyDescent="0.25">
      <c r="A39" s="22" t="s">
        <v>141</v>
      </c>
      <c r="B39" s="23" t="s">
        <v>70</v>
      </c>
      <c r="C39" s="111" t="s">
        <v>139</v>
      </c>
      <c r="D39" s="111" t="s">
        <v>137</v>
      </c>
      <c r="E39" s="111" t="s">
        <v>138</v>
      </c>
      <c r="F39" s="22"/>
      <c r="G39" s="22" t="s">
        <v>27</v>
      </c>
      <c r="H39" s="22">
        <v>0</v>
      </c>
      <c r="I39" s="22">
        <v>710000000</v>
      </c>
      <c r="J39" s="22" t="s">
        <v>71</v>
      </c>
      <c r="K39" s="22" t="s">
        <v>75</v>
      </c>
      <c r="L39" s="22" t="s">
        <v>76</v>
      </c>
      <c r="M39" s="22" t="s">
        <v>28</v>
      </c>
      <c r="N39" s="22" t="s">
        <v>78</v>
      </c>
      <c r="O39" s="24" t="s">
        <v>34</v>
      </c>
      <c r="P39" s="22">
        <v>113</v>
      </c>
      <c r="Q39" s="111" t="s">
        <v>140</v>
      </c>
      <c r="R39" s="27">
        <v>8</v>
      </c>
      <c r="S39" s="26">
        <v>4000</v>
      </c>
      <c r="T39" s="26">
        <f t="shared" ref="T39:T40" si="33">R39*S39</f>
        <v>32000</v>
      </c>
      <c r="U39" s="26">
        <f t="shared" ref="U39:U40" si="34">T39*1.12</f>
        <v>35840</v>
      </c>
      <c r="V39" s="22" t="s">
        <v>30</v>
      </c>
      <c r="W39" s="22">
        <v>2015</v>
      </c>
      <c r="X39" s="22"/>
    </row>
    <row r="40" spans="1:24" s="21" customFormat="1" ht="74.25" customHeight="1" outlineLevel="1" x14ac:dyDescent="0.25">
      <c r="A40" s="22" t="s">
        <v>145</v>
      </c>
      <c r="B40" s="23" t="s">
        <v>70</v>
      </c>
      <c r="C40" s="111" t="s">
        <v>98</v>
      </c>
      <c r="D40" s="111" t="s">
        <v>96</v>
      </c>
      <c r="E40" s="111" t="s">
        <v>97</v>
      </c>
      <c r="F40" s="22"/>
      <c r="G40" s="22" t="s">
        <v>74</v>
      </c>
      <c r="H40" s="22">
        <v>0</v>
      </c>
      <c r="I40" s="22">
        <v>710000000</v>
      </c>
      <c r="J40" s="22" t="s">
        <v>71</v>
      </c>
      <c r="K40" s="22" t="s">
        <v>75</v>
      </c>
      <c r="L40" s="22" t="s">
        <v>142</v>
      </c>
      <c r="M40" s="22" t="s">
        <v>28</v>
      </c>
      <c r="N40" s="22" t="s">
        <v>78</v>
      </c>
      <c r="O40" s="24" t="s">
        <v>34</v>
      </c>
      <c r="P40" s="22">
        <v>796</v>
      </c>
      <c r="Q40" s="111" t="s">
        <v>62</v>
      </c>
      <c r="R40" s="27">
        <v>130</v>
      </c>
      <c r="S40" s="26">
        <v>5000</v>
      </c>
      <c r="T40" s="26">
        <f t="shared" si="33"/>
        <v>650000</v>
      </c>
      <c r="U40" s="26">
        <f t="shared" si="34"/>
        <v>728000.00000000012</v>
      </c>
      <c r="V40" s="22" t="s">
        <v>30</v>
      </c>
      <c r="W40" s="22">
        <v>2015</v>
      </c>
      <c r="X40" s="22"/>
    </row>
    <row r="41" spans="1:24" s="21" customFormat="1" ht="74.25" customHeight="1" outlineLevel="1" x14ac:dyDescent="0.25">
      <c r="A41" s="22" t="s">
        <v>146</v>
      </c>
      <c r="B41" s="23" t="s">
        <v>70</v>
      </c>
      <c r="C41" s="111" t="s">
        <v>116</v>
      </c>
      <c r="D41" s="111" t="s">
        <v>52</v>
      </c>
      <c r="E41" s="111" t="s">
        <v>59</v>
      </c>
      <c r="F41" s="22" t="s">
        <v>143</v>
      </c>
      <c r="G41" s="22" t="s">
        <v>74</v>
      </c>
      <c r="H41" s="22">
        <v>0</v>
      </c>
      <c r="I41" s="22">
        <v>710000000</v>
      </c>
      <c r="J41" s="22" t="s">
        <v>71</v>
      </c>
      <c r="K41" s="22" t="s">
        <v>75</v>
      </c>
      <c r="L41" s="22" t="s">
        <v>142</v>
      </c>
      <c r="M41" s="22" t="s">
        <v>28</v>
      </c>
      <c r="N41" s="22" t="s">
        <v>78</v>
      </c>
      <c r="O41" s="24" t="s">
        <v>34</v>
      </c>
      <c r="P41" s="22">
        <v>839</v>
      </c>
      <c r="Q41" s="111" t="s">
        <v>117</v>
      </c>
      <c r="R41" s="27">
        <v>275</v>
      </c>
      <c r="S41" s="26">
        <v>680</v>
      </c>
      <c r="T41" s="26">
        <f t="shared" ref="T41:T54" si="35">R41*S41</f>
        <v>187000</v>
      </c>
      <c r="U41" s="26">
        <f t="shared" ref="U41:U54" si="36">T41*1.12</f>
        <v>209440.00000000003</v>
      </c>
      <c r="V41" s="22" t="s">
        <v>30</v>
      </c>
      <c r="W41" s="22">
        <v>2015</v>
      </c>
      <c r="X41" s="22"/>
    </row>
    <row r="42" spans="1:24" s="21" customFormat="1" ht="74.25" customHeight="1" outlineLevel="1" x14ac:dyDescent="0.25">
      <c r="A42" s="22" t="s">
        <v>147</v>
      </c>
      <c r="B42" s="23" t="s">
        <v>70</v>
      </c>
      <c r="C42" s="111" t="s">
        <v>84</v>
      </c>
      <c r="D42" s="111" t="s">
        <v>61</v>
      </c>
      <c r="E42" s="111" t="s">
        <v>58</v>
      </c>
      <c r="F42" s="22" t="s">
        <v>144</v>
      </c>
      <c r="G42" s="22" t="s">
        <v>74</v>
      </c>
      <c r="H42" s="22">
        <v>0</v>
      </c>
      <c r="I42" s="22">
        <v>710000000</v>
      </c>
      <c r="J42" s="22" t="s">
        <v>71</v>
      </c>
      <c r="K42" s="22" t="s">
        <v>75</v>
      </c>
      <c r="L42" s="22" t="s">
        <v>142</v>
      </c>
      <c r="M42" s="22" t="s">
        <v>28</v>
      </c>
      <c r="N42" s="22" t="s">
        <v>78</v>
      </c>
      <c r="O42" s="24" t="s">
        <v>34</v>
      </c>
      <c r="P42" s="22">
        <v>168</v>
      </c>
      <c r="Q42" s="111" t="s">
        <v>54</v>
      </c>
      <c r="R42" s="27">
        <v>0.36</v>
      </c>
      <c r="S42" s="26">
        <v>200000</v>
      </c>
      <c r="T42" s="26">
        <f t="shared" si="35"/>
        <v>72000</v>
      </c>
      <c r="U42" s="26">
        <f t="shared" si="36"/>
        <v>80640.000000000015</v>
      </c>
      <c r="V42" s="22" t="s">
        <v>30</v>
      </c>
      <c r="W42" s="22">
        <v>2015</v>
      </c>
      <c r="X42" s="22"/>
    </row>
    <row r="43" spans="1:24" s="21" customFormat="1" ht="74.25" customHeight="1" outlineLevel="1" x14ac:dyDescent="0.25">
      <c r="A43" s="22" t="s">
        <v>148</v>
      </c>
      <c r="B43" s="23" t="s">
        <v>70</v>
      </c>
      <c r="C43" s="111" t="s">
        <v>68</v>
      </c>
      <c r="D43" s="111" t="s">
        <v>63</v>
      </c>
      <c r="E43" s="111" t="s">
        <v>69</v>
      </c>
      <c r="F43" s="22"/>
      <c r="G43" s="22" t="s">
        <v>74</v>
      </c>
      <c r="H43" s="22">
        <v>0</v>
      </c>
      <c r="I43" s="22">
        <v>710000000</v>
      </c>
      <c r="J43" s="22" t="s">
        <v>71</v>
      </c>
      <c r="K43" s="22" t="s">
        <v>75</v>
      </c>
      <c r="L43" s="22" t="s">
        <v>142</v>
      </c>
      <c r="M43" s="22" t="s">
        <v>28</v>
      </c>
      <c r="N43" s="22" t="s">
        <v>78</v>
      </c>
      <c r="O43" s="24" t="s">
        <v>34</v>
      </c>
      <c r="P43" s="22">
        <v>168</v>
      </c>
      <c r="Q43" s="111" t="s">
        <v>54</v>
      </c>
      <c r="R43" s="27">
        <v>0.11</v>
      </c>
      <c r="S43" s="26">
        <v>280000</v>
      </c>
      <c r="T43" s="26">
        <f t="shared" si="35"/>
        <v>30800</v>
      </c>
      <c r="U43" s="26">
        <f t="shared" si="36"/>
        <v>34496</v>
      </c>
      <c r="V43" s="22" t="s">
        <v>30</v>
      </c>
      <c r="W43" s="22">
        <v>2015</v>
      </c>
      <c r="X43" s="22"/>
    </row>
    <row r="44" spans="1:24" s="21" customFormat="1" ht="86.25" customHeight="1" outlineLevel="1" x14ac:dyDescent="0.25">
      <c r="A44" s="22" t="s">
        <v>156</v>
      </c>
      <c r="B44" s="23" t="s">
        <v>70</v>
      </c>
      <c r="C44" s="111" t="s">
        <v>116</v>
      </c>
      <c r="D44" s="111" t="s">
        <v>52</v>
      </c>
      <c r="E44" s="111" t="s">
        <v>59</v>
      </c>
      <c r="F44" s="22" t="s">
        <v>94</v>
      </c>
      <c r="G44" s="22" t="s">
        <v>74</v>
      </c>
      <c r="H44" s="22">
        <v>0</v>
      </c>
      <c r="I44" s="22">
        <v>710000000</v>
      </c>
      <c r="J44" s="22" t="s">
        <v>71</v>
      </c>
      <c r="K44" s="22" t="s">
        <v>75</v>
      </c>
      <c r="L44" s="22" t="s">
        <v>149</v>
      </c>
      <c r="M44" s="22" t="s">
        <v>28</v>
      </c>
      <c r="N44" s="22" t="s">
        <v>78</v>
      </c>
      <c r="O44" s="24" t="s">
        <v>34</v>
      </c>
      <c r="P44" s="22">
        <v>839</v>
      </c>
      <c r="Q44" s="111" t="s">
        <v>117</v>
      </c>
      <c r="R44" s="27">
        <v>205</v>
      </c>
      <c r="S44" s="26">
        <v>400</v>
      </c>
      <c r="T44" s="26">
        <f t="shared" ref="T44:T50" si="37">R44*S44</f>
        <v>82000</v>
      </c>
      <c r="U44" s="26">
        <f t="shared" ref="U44:U50" si="38">T44*1.12</f>
        <v>91840.000000000015</v>
      </c>
      <c r="V44" s="22" t="s">
        <v>30</v>
      </c>
      <c r="W44" s="22">
        <v>2015</v>
      </c>
      <c r="X44" s="22"/>
    </row>
    <row r="45" spans="1:24" s="21" customFormat="1" ht="87" customHeight="1" outlineLevel="1" x14ac:dyDescent="0.25">
      <c r="A45" s="22" t="s">
        <v>157</v>
      </c>
      <c r="B45" s="23" t="s">
        <v>70</v>
      </c>
      <c r="C45" s="111" t="s">
        <v>84</v>
      </c>
      <c r="D45" s="111" t="s">
        <v>61</v>
      </c>
      <c r="E45" s="111" t="s">
        <v>58</v>
      </c>
      <c r="F45" s="22" t="s">
        <v>88</v>
      </c>
      <c r="G45" s="22" t="s">
        <v>74</v>
      </c>
      <c r="H45" s="22">
        <v>0</v>
      </c>
      <c r="I45" s="22">
        <v>710000000</v>
      </c>
      <c r="J45" s="22" t="s">
        <v>71</v>
      </c>
      <c r="K45" s="22" t="s">
        <v>75</v>
      </c>
      <c r="L45" s="22" t="s">
        <v>149</v>
      </c>
      <c r="M45" s="22" t="s">
        <v>28</v>
      </c>
      <c r="N45" s="22" t="s">
        <v>78</v>
      </c>
      <c r="O45" s="24" t="s">
        <v>34</v>
      </c>
      <c r="P45" s="22">
        <v>168</v>
      </c>
      <c r="Q45" s="111" t="s">
        <v>54</v>
      </c>
      <c r="R45" s="27">
        <v>0.26700000000000002</v>
      </c>
      <c r="S45" s="26">
        <v>265000</v>
      </c>
      <c r="T45" s="26">
        <f t="shared" si="37"/>
        <v>70755</v>
      </c>
      <c r="U45" s="26">
        <f t="shared" si="38"/>
        <v>79245.600000000006</v>
      </c>
      <c r="V45" s="22" t="s">
        <v>30</v>
      </c>
      <c r="W45" s="22">
        <v>2015</v>
      </c>
      <c r="X45" s="22"/>
    </row>
    <row r="46" spans="1:24" s="21" customFormat="1" ht="81" customHeight="1" outlineLevel="1" x14ac:dyDescent="0.25">
      <c r="A46" s="22" t="s">
        <v>158</v>
      </c>
      <c r="B46" s="23" t="s">
        <v>70</v>
      </c>
      <c r="C46" s="111" t="s">
        <v>68</v>
      </c>
      <c r="D46" s="111" t="s">
        <v>63</v>
      </c>
      <c r="E46" s="111" t="s">
        <v>69</v>
      </c>
      <c r="F46" s="22"/>
      <c r="G46" s="22" t="s">
        <v>74</v>
      </c>
      <c r="H46" s="22">
        <v>0</v>
      </c>
      <c r="I46" s="22">
        <v>710000000</v>
      </c>
      <c r="J46" s="22" t="s">
        <v>71</v>
      </c>
      <c r="K46" s="22" t="s">
        <v>75</v>
      </c>
      <c r="L46" s="22" t="s">
        <v>149</v>
      </c>
      <c r="M46" s="22" t="s">
        <v>28</v>
      </c>
      <c r="N46" s="22" t="s">
        <v>78</v>
      </c>
      <c r="O46" s="24" t="s">
        <v>34</v>
      </c>
      <c r="P46" s="22">
        <v>168</v>
      </c>
      <c r="Q46" s="111" t="s">
        <v>54</v>
      </c>
      <c r="R46" s="27">
        <v>0.11</v>
      </c>
      <c r="S46" s="26">
        <v>280000</v>
      </c>
      <c r="T46" s="26">
        <f t="shared" si="37"/>
        <v>30800</v>
      </c>
      <c r="U46" s="26">
        <f t="shared" si="38"/>
        <v>34496</v>
      </c>
      <c r="V46" s="22" t="s">
        <v>30</v>
      </c>
      <c r="W46" s="22">
        <v>2015</v>
      </c>
      <c r="X46" s="22"/>
    </row>
    <row r="47" spans="1:24" s="21" customFormat="1" ht="86.25" customHeight="1" outlineLevel="1" x14ac:dyDescent="0.25">
      <c r="A47" s="22" t="s">
        <v>159</v>
      </c>
      <c r="B47" s="23" t="s">
        <v>70</v>
      </c>
      <c r="C47" s="111" t="s">
        <v>98</v>
      </c>
      <c r="D47" s="111" t="s">
        <v>96</v>
      </c>
      <c r="E47" s="111" t="s">
        <v>97</v>
      </c>
      <c r="F47" s="22"/>
      <c r="G47" s="22" t="s">
        <v>74</v>
      </c>
      <c r="H47" s="22">
        <v>0</v>
      </c>
      <c r="I47" s="22">
        <v>710000000</v>
      </c>
      <c r="J47" s="22" t="s">
        <v>71</v>
      </c>
      <c r="K47" s="22" t="s">
        <v>75</v>
      </c>
      <c r="L47" s="22" t="s">
        <v>149</v>
      </c>
      <c r="M47" s="22" t="s">
        <v>28</v>
      </c>
      <c r="N47" s="22" t="s">
        <v>78</v>
      </c>
      <c r="O47" s="24" t="s">
        <v>34</v>
      </c>
      <c r="P47" s="22">
        <v>796</v>
      </c>
      <c r="Q47" s="111" t="s">
        <v>62</v>
      </c>
      <c r="R47" s="27">
        <v>130</v>
      </c>
      <c r="S47" s="26">
        <v>5000</v>
      </c>
      <c r="T47" s="26">
        <f t="shared" si="37"/>
        <v>650000</v>
      </c>
      <c r="U47" s="26">
        <f t="shared" si="38"/>
        <v>728000.00000000012</v>
      </c>
      <c r="V47" s="22" t="s">
        <v>30</v>
      </c>
      <c r="W47" s="22">
        <v>2015</v>
      </c>
      <c r="X47" s="22"/>
    </row>
    <row r="48" spans="1:24" s="21" customFormat="1" ht="84.75" customHeight="1" outlineLevel="1" x14ac:dyDescent="0.25">
      <c r="A48" s="22" t="s">
        <v>160</v>
      </c>
      <c r="B48" s="23" t="s">
        <v>70</v>
      </c>
      <c r="C48" s="111" t="s">
        <v>104</v>
      </c>
      <c r="D48" s="111" t="s">
        <v>52</v>
      </c>
      <c r="E48" s="111" t="s">
        <v>103</v>
      </c>
      <c r="F48" s="22" t="s">
        <v>150</v>
      </c>
      <c r="G48" s="22" t="s">
        <v>74</v>
      </c>
      <c r="H48" s="22">
        <v>0</v>
      </c>
      <c r="I48" s="22">
        <v>710000000</v>
      </c>
      <c r="J48" s="22" t="s">
        <v>71</v>
      </c>
      <c r="K48" s="22" t="s">
        <v>75</v>
      </c>
      <c r="L48" s="22" t="s">
        <v>149</v>
      </c>
      <c r="M48" s="22" t="s">
        <v>28</v>
      </c>
      <c r="N48" s="22" t="s">
        <v>78</v>
      </c>
      <c r="O48" s="24" t="s">
        <v>34</v>
      </c>
      <c r="P48" s="22">
        <v>166</v>
      </c>
      <c r="Q48" s="111" t="s">
        <v>105</v>
      </c>
      <c r="R48" s="27">
        <v>10</v>
      </c>
      <c r="S48" s="26">
        <v>450</v>
      </c>
      <c r="T48" s="26">
        <f t="shared" si="37"/>
        <v>4500</v>
      </c>
      <c r="U48" s="26">
        <f t="shared" si="38"/>
        <v>5040.0000000000009</v>
      </c>
      <c r="V48" s="22" t="s">
        <v>30</v>
      </c>
      <c r="W48" s="22">
        <v>2015</v>
      </c>
      <c r="X48" s="22"/>
    </row>
    <row r="49" spans="1:24" s="21" customFormat="1" ht="81.75" customHeight="1" outlineLevel="1" x14ac:dyDescent="0.25">
      <c r="A49" s="22" t="s">
        <v>161</v>
      </c>
      <c r="B49" s="23" t="s">
        <v>70</v>
      </c>
      <c r="C49" s="111" t="s">
        <v>102</v>
      </c>
      <c r="D49" s="111" t="s">
        <v>55</v>
      </c>
      <c r="E49" s="111" t="s">
        <v>101</v>
      </c>
      <c r="F49" s="22" t="s">
        <v>106</v>
      </c>
      <c r="G49" s="22" t="s">
        <v>74</v>
      </c>
      <c r="H49" s="22">
        <v>0</v>
      </c>
      <c r="I49" s="22">
        <v>710000000</v>
      </c>
      <c r="J49" s="22" t="s">
        <v>71</v>
      </c>
      <c r="K49" s="22" t="s">
        <v>75</v>
      </c>
      <c r="L49" s="22" t="s">
        <v>149</v>
      </c>
      <c r="M49" s="22" t="s">
        <v>28</v>
      </c>
      <c r="N49" s="22" t="s">
        <v>78</v>
      </c>
      <c r="O49" s="24" t="s">
        <v>34</v>
      </c>
      <c r="P49" s="22">
        <v>168</v>
      </c>
      <c r="Q49" s="111" t="s">
        <v>54</v>
      </c>
      <c r="R49" s="27">
        <v>5.0000000000000001E-3</v>
      </c>
      <c r="S49" s="26">
        <v>450000</v>
      </c>
      <c r="T49" s="26">
        <f t="shared" si="37"/>
        <v>2250</v>
      </c>
      <c r="U49" s="26">
        <f t="shared" si="38"/>
        <v>2520.0000000000005</v>
      </c>
      <c r="V49" s="22" t="s">
        <v>30</v>
      </c>
      <c r="W49" s="22">
        <v>2015</v>
      </c>
      <c r="X49" s="22"/>
    </row>
    <row r="50" spans="1:24" s="21" customFormat="1" ht="87" customHeight="1" outlineLevel="1" x14ac:dyDescent="0.25">
      <c r="A50" s="22" t="s">
        <v>162</v>
      </c>
      <c r="B50" s="23" t="s">
        <v>70</v>
      </c>
      <c r="C50" s="111" t="s">
        <v>120</v>
      </c>
      <c r="D50" s="111" t="s">
        <v>118</v>
      </c>
      <c r="E50" s="111" t="s">
        <v>119</v>
      </c>
      <c r="F50" s="22" t="s">
        <v>123</v>
      </c>
      <c r="G50" s="22" t="s">
        <v>74</v>
      </c>
      <c r="H50" s="22">
        <v>0</v>
      </c>
      <c r="I50" s="22">
        <v>710000000</v>
      </c>
      <c r="J50" s="22" t="s">
        <v>71</v>
      </c>
      <c r="K50" s="22" t="s">
        <v>75</v>
      </c>
      <c r="L50" s="22" t="s">
        <v>149</v>
      </c>
      <c r="M50" s="22" t="s">
        <v>28</v>
      </c>
      <c r="N50" s="22" t="s">
        <v>78</v>
      </c>
      <c r="O50" s="24" t="s">
        <v>34</v>
      </c>
      <c r="P50" s="22">
        <v>839</v>
      </c>
      <c r="Q50" s="111" t="s">
        <v>117</v>
      </c>
      <c r="R50" s="27">
        <v>1</v>
      </c>
      <c r="S50" s="26">
        <v>810000</v>
      </c>
      <c r="T50" s="26">
        <f t="shared" si="37"/>
        <v>810000</v>
      </c>
      <c r="U50" s="26">
        <f t="shared" si="38"/>
        <v>907200.00000000012</v>
      </c>
      <c r="V50" s="22" t="s">
        <v>30</v>
      </c>
      <c r="W50" s="22">
        <v>2015</v>
      </c>
      <c r="X50" s="22"/>
    </row>
    <row r="51" spans="1:24" s="21" customFormat="1" ht="84" customHeight="1" outlineLevel="1" x14ac:dyDescent="0.25">
      <c r="A51" s="22" t="s">
        <v>163</v>
      </c>
      <c r="B51" s="23" t="s">
        <v>70</v>
      </c>
      <c r="C51" s="111" t="s">
        <v>152</v>
      </c>
      <c r="D51" s="111" t="s">
        <v>121</v>
      </c>
      <c r="E51" s="111" t="s">
        <v>151</v>
      </c>
      <c r="F51" s="22" t="s">
        <v>123</v>
      </c>
      <c r="G51" s="22" t="s">
        <v>74</v>
      </c>
      <c r="H51" s="22">
        <v>0</v>
      </c>
      <c r="I51" s="22">
        <v>710000000</v>
      </c>
      <c r="J51" s="22" t="s">
        <v>71</v>
      </c>
      <c r="K51" s="22" t="s">
        <v>75</v>
      </c>
      <c r="L51" s="22" t="s">
        <v>149</v>
      </c>
      <c r="M51" s="22" t="s">
        <v>28</v>
      </c>
      <c r="N51" s="22" t="s">
        <v>78</v>
      </c>
      <c r="O51" s="24" t="s">
        <v>34</v>
      </c>
      <c r="P51" s="22">
        <v>796</v>
      </c>
      <c r="Q51" s="111" t="s">
        <v>62</v>
      </c>
      <c r="R51" s="27">
        <v>1</v>
      </c>
      <c r="S51" s="26">
        <v>1450000</v>
      </c>
      <c r="T51" s="26">
        <f t="shared" ref="T51:T53" si="39">R51*S51</f>
        <v>1450000</v>
      </c>
      <c r="U51" s="26">
        <f t="shared" ref="U51:U53" si="40">T51*1.12</f>
        <v>1624000.0000000002</v>
      </c>
      <c r="V51" s="22" t="s">
        <v>30</v>
      </c>
      <c r="W51" s="22">
        <v>2015</v>
      </c>
      <c r="X51" s="22"/>
    </row>
    <row r="52" spans="1:24" s="21" customFormat="1" ht="89.25" customHeight="1" outlineLevel="1" x14ac:dyDescent="0.25">
      <c r="A52" s="22" t="s">
        <v>164</v>
      </c>
      <c r="B52" s="23" t="s">
        <v>70</v>
      </c>
      <c r="C52" s="111" t="s">
        <v>154</v>
      </c>
      <c r="D52" s="111" t="s">
        <v>126</v>
      </c>
      <c r="E52" s="111" t="s">
        <v>153</v>
      </c>
      <c r="F52" s="22"/>
      <c r="G52" s="22" t="s">
        <v>74</v>
      </c>
      <c r="H52" s="22">
        <v>0</v>
      </c>
      <c r="I52" s="22">
        <v>710000000</v>
      </c>
      <c r="J52" s="22" t="s">
        <v>71</v>
      </c>
      <c r="K52" s="22" t="s">
        <v>75</v>
      </c>
      <c r="L52" s="22" t="s">
        <v>149</v>
      </c>
      <c r="M52" s="22" t="s">
        <v>28</v>
      </c>
      <c r="N52" s="22" t="s">
        <v>78</v>
      </c>
      <c r="O52" s="24" t="s">
        <v>34</v>
      </c>
      <c r="P52" s="22">
        <v>839</v>
      </c>
      <c r="Q52" s="111" t="s">
        <v>117</v>
      </c>
      <c r="R52" s="27">
        <v>1</v>
      </c>
      <c r="S52" s="26">
        <v>1500000</v>
      </c>
      <c r="T52" s="26">
        <f t="shared" si="39"/>
        <v>1500000</v>
      </c>
      <c r="U52" s="26">
        <f t="shared" si="40"/>
        <v>1680000.0000000002</v>
      </c>
      <c r="V52" s="22" t="s">
        <v>30</v>
      </c>
      <c r="W52" s="22">
        <v>2015</v>
      </c>
      <c r="X52" s="22"/>
    </row>
    <row r="53" spans="1:24" s="21" customFormat="1" ht="84" customHeight="1" outlineLevel="1" x14ac:dyDescent="0.25">
      <c r="A53" s="22" t="s">
        <v>165</v>
      </c>
      <c r="B53" s="23" t="s">
        <v>70</v>
      </c>
      <c r="C53" s="111" t="s">
        <v>139</v>
      </c>
      <c r="D53" s="111" t="s">
        <v>137</v>
      </c>
      <c r="E53" s="111" t="s">
        <v>138</v>
      </c>
      <c r="F53" s="22"/>
      <c r="G53" s="22" t="s">
        <v>27</v>
      </c>
      <c r="H53" s="22">
        <v>0</v>
      </c>
      <c r="I53" s="22">
        <v>710000000</v>
      </c>
      <c r="J53" s="22" t="s">
        <v>71</v>
      </c>
      <c r="K53" s="22" t="s">
        <v>75</v>
      </c>
      <c r="L53" s="22" t="s">
        <v>149</v>
      </c>
      <c r="M53" s="22" t="s">
        <v>28</v>
      </c>
      <c r="N53" s="22" t="s">
        <v>78</v>
      </c>
      <c r="O53" s="24" t="s">
        <v>34</v>
      </c>
      <c r="P53" s="22">
        <v>113</v>
      </c>
      <c r="Q53" s="111" t="s">
        <v>140</v>
      </c>
      <c r="R53" s="27">
        <v>3</v>
      </c>
      <c r="S53" s="26">
        <v>4000</v>
      </c>
      <c r="T53" s="26">
        <f t="shared" si="39"/>
        <v>12000</v>
      </c>
      <c r="U53" s="26">
        <f t="shared" si="40"/>
        <v>13440.000000000002</v>
      </c>
      <c r="V53" s="22" t="s">
        <v>30</v>
      </c>
      <c r="W53" s="22">
        <v>2015</v>
      </c>
      <c r="X53" s="22"/>
    </row>
    <row r="54" spans="1:24" s="21" customFormat="1" ht="74.25" customHeight="1" outlineLevel="1" x14ac:dyDescent="0.25">
      <c r="A54" s="22" t="s">
        <v>166</v>
      </c>
      <c r="B54" s="23" t="s">
        <v>70</v>
      </c>
      <c r="C54" s="111" t="s">
        <v>98</v>
      </c>
      <c r="D54" s="111" t="s">
        <v>96</v>
      </c>
      <c r="E54" s="111" t="s">
        <v>97</v>
      </c>
      <c r="F54" s="22"/>
      <c r="G54" s="22" t="s">
        <v>74</v>
      </c>
      <c r="H54" s="22">
        <v>0</v>
      </c>
      <c r="I54" s="22">
        <v>710000000</v>
      </c>
      <c r="J54" s="22" t="s">
        <v>71</v>
      </c>
      <c r="K54" s="22" t="s">
        <v>75</v>
      </c>
      <c r="L54" s="22" t="s">
        <v>177</v>
      </c>
      <c r="M54" s="22" t="s">
        <v>28</v>
      </c>
      <c r="N54" s="22" t="s">
        <v>78</v>
      </c>
      <c r="O54" s="24" t="s">
        <v>34</v>
      </c>
      <c r="P54" s="22">
        <v>796</v>
      </c>
      <c r="Q54" s="111" t="s">
        <v>62</v>
      </c>
      <c r="R54" s="27">
        <v>70</v>
      </c>
      <c r="S54" s="26">
        <v>5000</v>
      </c>
      <c r="T54" s="26">
        <f t="shared" si="35"/>
        <v>350000</v>
      </c>
      <c r="U54" s="26">
        <f t="shared" si="36"/>
        <v>392000.00000000006</v>
      </c>
      <c r="V54" s="22" t="s">
        <v>30</v>
      </c>
      <c r="W54" s="22">
        <v>2015</v>
      </c>
      <c r="X54" s="22"/>
    </row>
    <row r="55" spans="1:24" s="21" customFormat="1" ht="74.25" customHeight="1" outlineLevel="1" x14ac:dyDescent="0.25">
      <c r="A55" s="22" t="s">
        <v>167</v>
      </c>
      <c r="B55" s="23" t="s">
        <v>70</v>
      </c>
      <c r="C55" s="111" t="s">
        <v>84</v>
      </c>
      <c r="D55" s="111" t="s">
        <v>61</v>
      </c>
      <c r="E55" s="111" t="s">
        <v>58</v>
      </c>
      <c r="F55" s="22" t="s">
        <v>144</v>
      </c>
      <c r="G55" s="22" t="s">
        <v>74</v>
      </c>
      <c r="H55" s="22">
        <v>0</v>
      </c>
      <c r="I55" s="22">
        <v>710000000</v>
      </c>
      <c r="J55" s="22" t="s">
        <v>71</v>
      </c>
      <c r="K55" s="22" t="s">
        <v>75</v>
      </c>
      <c r="L55" s="22" t="s">
        <v>177</v>
      </c>
      <c r="M55" s="22" t="s">
        <v>28</v>
      </c>
      <c r="N55" s="22" t="s">
        <v>78</v>
      </c>
      <c r="O55" s="24" t="s">
        <v>34</v>
      </c>
      <c r="P55" s="22">
        <v>168</v>
      </c>
      <c r="Q55" s="111" t="s">
        <v>54</v>
      </c>
      <c r="R55" s="27">
        <v>0.27</v>
      </c>
      <c r="S55" s="26">
        <v>200000</v>
      </c>
      <c r="T55" s="26">
        <f t="shared" ref="T55:T59" si="41">R55*S55</f>
        <v>54000</v>
      </c>
      <c r="U55" s="26">
        <f t="shared" ref="U55:U59" si="42">T55*1.12</f>
        <v>60480.000000000007</v>
      </c>
      <c r="V55" s="22" t="s">
        <v>30</v>
      </c>
      <c r="W55" s="22">
        <v>2015</v>
      </c>
      <c r="X55" s="22"/>
    </row>
    <row r="56" spans="1:24" s="21" customFormat="1" ht="74.25" customHeight="1" outlineLevel="1" x14ac:dyDescent="0.25">
      <c r="A56" s="22" t="s">
        <v>168</v>
      </c>
      <c r="B56" s="23" t="s">
        <v>70</v>
      </c>
      <c r="C56" s="111" t="s">
        <v>90</v>
      </c>
      <c r="D56" s="111" t="s">
        <v>64</v>
      </c>
      <c r="E56" s="111" t="s">
        <v>89</v>
      </c>
      <c r="F56" s="22" t="s">
        <v>144</v>
      </c>
      <c r="G56" s="22" t="s">
        <v>74</v>
      </c>
      <c r="H56" s="22">
        <v>0</v>
      </c>
      <c r="I56" s="22">
        <v>710000000</v>
      </c>
      <c r="J56" s="22" t="s">
        <v>71</v>
      </c>
      <c r="K56" s="22" t="s">
        <v>75</v>
      </c>
      <c r="L56" s="22" t="s">
        <v>177</v>
      </c>
      <c r="M56" s="22" t="s">
        <v>28</v>
      </c>
      <c r="N56" s="22" t="s">
        <v>78</v>
      </c>
      <c r="O56" s="24" t="s">
        <v>34</v>
      </c>
      <c r="P56" s="22">
        <v>796</v>
      </c>
      <c r="Q56" s="111" t="s">
        <v>62</v>
      </c>
      <c r="R56" s="27">
        <v>170</v>
      </c>
      <c r="S56" s="26">
        <v>331</v>
      </c>
      <c r="T56" s="26">
        <f t="shared" si="41"/>
        <v>56270</v>
      </c>
      <c r="U56" s="26">
        <f t="shared" si="42"/>
        <v>63022.400000000009</v>
      </c>
      <c r="V56" s="22" t="s">
        <v>30</v>
      </c>
      <c r="W56" s="22">
        <v>2015</v>
      </c>
      <c r="X56" s="22"/>
    </row>
    <row r="57" spans="1:24" s="21" customFormat="1" ht="74.25" customHeight="1" outlineLevel="1" x14ac:dyDescent="0.25">
      <c r="A57" s="22" t="s">
        <v>169</v>
      </c>
      <c r="B57" s="23" t="s">
        <v>70</v>
      </c>
      <c r="C57" s="111" t="s">
        <v>68</v>
      </c>
      <c r="D57" s="111" t="s">
        <v>63</v>
      </c>
      <c r="E57" s="111" t="s">
        <v>69</v>
      </c>
      <c r="F57" s="22"/>
      <c r="G57" s="22" t="s">
        <v>74</v>
      </c>
      <c r="H57" s="22">
        <v>0</v>
      </c>
      <c r="I57" s="22">
        <v>710000000</v>
      </c>
      <c r="J57" s="22" t="s">
        <v>71</v>
      </c>
      <c r="K57" s="22" t="s">
        <v>75</v>
      </c>
      <c r="L57" s="22" t="s">
        <v>177</v>
      </c>
      <c r="M57" s="22" t="s">
        <v>28</v>
      </c>
      <c r="N57" s="22" t="s">
        <v>78</v>
      </c>
      <c r="O57" s="24" t="s">
        <v>34</v>
      </c>
      <c r="P57" s="22">
        <v>168</v>
      </c>
      <c r="Q57" s="111" t="s">
        <v>54</v>
      </c>
      <c r="R57" s="27">
        <v>0.5</v>
      </c>
      <c r="S57" s="26">
        <v>280000</v>
      </c>
      <c r="T57" s="26">
        <f t="shared" si="41"/>
        <v>140000</v>
      </c>
      <c r="U57" s="26">
        <f t="shared" si="42"/>
        <v>156800.00000000003</v>
      </c>
      <c r="V57" s="22" t="s">
        <v>30</v>
      </c>
      <c r="W57" s="22">
        <v>2015</v>
      </c>
      <c r="X57" s="22"/>
    </row>
    <row r="58" spans="1:24" s="21" customFormat="1" ht="74.25" customHeight="1" outlineLevel="1" x14ac:dyDescent="0.25">
      <c r="A58" s="22" t="s">
        <v>170</v>
      </c>
      <c r="B58" s="23" t="s">
        <v>70</v>
      </c>
      <c r="C58" s="111" t="s">
        <v>93</v>
      </c>
      <c r="D58" s="111" t="s">
        <v>91</v>
      </c>
      <c r="E58" s="111" t="s">
        <v>92</v>
      </c>
      <c r="F58" s="22" t="s">
        <v>155</v>
      </c>
      <c r="G58" s="22" t="s">
        <v>74</v>
      </c>
      <c r="H58" s="22">
        <v>0</v>
      </c>
      <c r="I58" s="22">
        <v>710000000</v>
      </c>
      <c r="J58" s="22" t="s">
        <v>71</v>
      </c>
      <c r="K58" s="22" t="s">
        <v>75</v>
      </c>
      <c r="L58" s="22" t="s">
        <v>177</v>
      </c>
      <c r="M58" s="22" t="s">
        <v>28</v>
      </c>
      <c r="N58" s="22" t="s">
        <v>78</v>
      </c>
      <c r="O58" s="24" t="s">
        <v>34</v>
      </c>
      <c r="P58" s="22">
        <v>168</v>
      </c>
      <c r="Q58" s="111" t="s">
        <v>54</v>
      </c>
      <c r="R58" s="27">
        <v>0.31</v>
      </c>
      <c r="S58" s="26">
        <v>290000</v>
      </c>
      <c r="T58" s="26">
        <f t="shared" si="41"/>
        <v>89900</v>
      </c>
      <c r="U58" s="26">
        <f t="shared" si="42"/>
        <v>100688.00000000001</v>
      </c>
      <c r="V58" s="22" t="s">
        <v>30</v>
      </c>
      <c r="W58" s="22">
        <v>2015</v>
      </c>
      <c r="X58" s="22"/>
    </row>
    <row r="59" spans="1:24" s="21" customFormat="1" ht="74.25" customHeight="1" outlineLevel="1" x14ac:dyDescent="0.25">
      <c r="A59" s="22" t="s">
        <v>171</v>
      </c>
      <c r="B59" s="23" t="s">
        <v>70</v>
      </c>
      <c r="C59" s="111" t="s">
        <v>139</v>
      </c>
      <c r="D59" s="111" t="s">
        <v>137</v>
      </c>
      <c r="E59" s="111" t="s">
        <v>138</v>
      </c>
      <c r="F59" s="22"/>
      <c r="G59" s="22" t="s">
        <v>27</v>
      </c>
      <c r="H59" s="22">
        <v>0</v>
      </c>
      <c r="I59" s="22">
        <v>710000000</v>
      </c>
      <c r="J59" s="22" t="s">
        <v>71</v>
      </c>
      <c r="K59" s="22" t="s">
        <v>75</v>
      </c>
      <c r="L59" s="22" t="s">
        <v>177</v>
      </c>
      <c r="M59" s="22" t="s">
        <v>28</v>
      </c>
      <c r="N59" s="22" t="s">
        <v>78</v>
      </c>
      <c r="O59" s="24" t="s">
        <v>34</v>
      </c>
      <c r="P59" s="22">
        <v>113</v>
      </c>
      <c r="Q59" s="111" t="s">
        <v>140</v>
      </c>
      <c r="R59" s="27">
        <v>40</v>
      </c>
      <c r="S59" s="26">
        <v>4000</v>
      </c>
      <c r="T59" s="26">
        <f t="shared" si="41"/>
        <v>160000</v>
      </c>
      <c r="U59" s="26">
        <f t="shared" si="42"/>
        <v>179200.00000000003</v>
      </c>
      <c r="V59" s="22" t="s">
        <v>30</v>
      </c>
      <c r="W59" s="22">
        <v>2015</v>
      </c>
      <c r="X59" s="22"/>
    </row>
    <row r="60" spans="1:24" s="21" customFormat="1" ht="74.25" customHeight="1" outlineLevel="1" x14ac:dyDescent="0.25">
      <c r="A60" s="22" t="s">
        <v>172</v>
      </c>
      <c r="B60" s="23" t="s">
        <v>70</v>
      </c>
      <c r="C60" s="112" t="s">
        <v>176</v>
      </c>
      <c r="D60" s="111" t="s">
        <v>174</v>
      </c>
      <c r="E60" s="111" t="s">
        <v>175</v>
      </c>
      <c r="F60" s="22"/>
      <c r="G60" s="22" t="s">
        <v>27</v>
      </c>
      <c r="H60" s="22">
        <v>0</v>
      </c>
      <c r="I60" s="22">
        <v>710000000</v>
      </c>
      <c r="J60" s="22" t="s">
        <v>71</v>
      </c>
      <c r="K60" s="22" t="s">
        <v>178</v>
      </c>
      <c r="L60" s="22" t="s">
        <v>142</v>
      </c>
      <c r="M60" s="22" t="s">
        <v>28</v>
      </c>
      <c r="N60" s="22" t="s">
        <v>78</v>
      </c>
      <c r="O60" s="24" t="s">
        <v>34</v>
      </c>
      <c r="P60" s="22">
        <v>796</v>
      </c>
      <c r="Q60" s="111" t="s">
        <v>62</v>
      </c>
      <c r="R60" s="27">
        <v>1</v>
      </c>
      <c r="S60" s="26">
        <v>165000</v>
      </c>
      <c r="T60" s="26">
        <f t="shared" ref="T60" si="43">R60*S60</f>
        <v>165000</v>
      </c>
      <c r="U60" s="26">
        <f t="shared" ref="U60" si="44">T60*1.12</f>
        <v>184800.00000000003</v>
      </c>
      <c r="V60" s="22" t="s">
        <v>30</v>
      </c>
      <c r="W60" s="22">
        <v>2015</v>
      </c>
      <c r="X60" s="22"/>
    </row>
    <row r="61" spans="1:24" s="21" customFormat="1" ht="96.75" customHeight="1" outlineLevel="1" x14ac:dyDescent="0.25">
      <c r="A61" s="22" t="s">
        <v>173</v>
      </c>
      <c r="B61" s="23" t="s">
        <v>70</v>
      </c>
      <c r="C61" s="112" t="s">
        <v>181</v>
      </c>
      <c r="D61" s="111" t="s">
        <v>179</v>
      </c>
      <c r="E61" s="111" t="s">
        <v>180</v>
      </c>
      <c r="F61" s="22"/>
      <c r="G61" s="22" t="s">
        <v>27</v>
      </c>
      <c r="H61" s="22">
        <v>0</v>
      </c>
      <c r="I61" s="22">
        <v>710000000</v>
      </c>
      <c r="J61" s="22" t="s">
        <v>71</v>
      </c>
      <c r="K61" s="22" t="s">
        <v>178</v>
      </c>
      <c r="L61" s="22" t="s">
        <v>182</v>
      </c>
      <c r="M61" s="22" t="s">
        <v>28</v>
      </c>
      <c r="N61" s="22" t="s">
        <v>78</v>
      </c>
      <c r="O61" s="24" t="s">
        <v>34</v>
      </c>
      <c r="P61" s="22">
        <v>796</v>
      </c>
      <c r="Q61" s="111" t="s">
        <v>62</v>
      </c>
      <c r="R61" s="27">
        <v>22</v>
      </c>
      <c r="S61" s="26">
        <f>1200/1.12</f>
        <v>1071.4285714285713</v>
      </c>
      <c r="T61" s="26">
        <f t="shared" ref="T61" si="45">R61*S61</f>
        <v>23571.428571428569</v>
      </c>
      <c r="U61" s="26">
        <f t="shared" ref="U61" si="46">T61*1.12</f>
        <v>26400</v>
      </c>
      <c r="V61" s="22" t="s">
        <v>30</v>
      </c>
      <c r="W61" s="22">
        <v>2015</v>
      </c>
      <c r="X61" s="22"/>
    </row>
    <row r="62" spans="1:24" s="21" customFormat="1" ht="98.25" customHeight="1" outlineLevel="1" x14ac:dyDescent="0.25">
      <c r="A62" s="22" t="s">
        <v>444</v>
      </c>
      <c r="B62" s="23" t="s">
        <v>70</v>
      </c>
      <c r="C62" s="112" t="s">
        <v>185</v>
      </c>
      <c r="D62" s="111" t="s">
        <v>183</v>
      </c>
      <c r="E62" s="111" t="s">
        <v>184</v>
      </c>
      <c r="F62" s="22"/>
      <c r="G62" s="22" t="s">
        <v>27</v>
      </c>
      <c r="H62" s="22">
        <v>0</v>
      </c>
      <c r="I62" s="22">
        <v>710000000</v>
      </c>
      <c r="J62" s="22" t="s">
        <v>71</v>
      </c>
      <c r="K62" s="22" t="s">
        <v>178</v>
      </c>
      <c r="L62" s="22" t="s">
        <v>182</v>
      </c>
      <c r="M62" s="22" t="s">
        <v>28</v>
      </c>
      <c r="N62" s="22" t="s">
        <v>78</v>
      </c>
      <c r="O62" s="24" t="s">
        <v>34</v>
      </c>
      <c r="P62" s="22">
        <v>796</v>
      </c>
      <c r="Q62" s="111" t="s">
        <v>62</v>
      </c>
      <c r="R62" s="27">
        <v>11</v>
      </c>
      <c r="S62" s="26">
        <v>5000</v>
      </c>
      <c r="T62" s="26">
        <f t="shared" ref="T62" si="47">R62*S62</f>
        <v>55000</v>
      </c>
      <c r="U62" s="26">
        <f t="shared" ref="U62" si="48">T62*1.12</f>
        <v>61600.000000000007</v>
      </c>
      <c r="V62" s="22" t="s">
        <v>30</v>
      </c>
      <c r="W62" s="22">
        <v>2015</v>
      </c>
      <c r="X62" s="22"/>
    </row>
    <row r="63" spans="1:24" s="21" customFormat="1" ht="123.75" customHeight="1" outlineLevel="1" x14ac:dyDescent="0.25">
      <c r="A63" s="22" t="s">
        <v>445</v>
      </c>
      <c r="B63" s="23" t="s">
        <v>70</v>
      </c>
      <c r="C63" s="112" t="s">
        <v>188</v>
      </c>
      <c r="D63" s="111" t="s">
        <v>186</v>
      </c>
      <c r="E63" s="111" t="s">
        <v>187</v>
      </c>
      <c r="F63" s="22"/>
      <c r="G63" s="22" t="s">
        <v>27</v>
      </c>
      <c r="H63" s="22">
        <v>0</v>
      </c>
      <c r="I63" s="22">
        <v>710000000</v>
      </c>
      <c r="J63" s="22" t="s">
        <v>71</v>
      </c>
      <c r="K63" s="22" t="s">
        <v>178</v>
      </c>
      <c r="L63" s="22" t="s">
        <v>182</v>
      </c>
      <c r="M63" s="22" t="s">
        <v>28</v>
      </c>
      <c r="N63" s="22" t="s">
        <v>78</v>
      </c>
      <c r="O63" s="24" t="s">
        <v>34</v>
      </c>
      <c r="P63" s="22">
        <v>839</v>
      </c>
      <c r="Q63" s="111" t="s">
        <v>117</v>
      </c>
      <c r="R63" s="27">
        <v>11</v>
      </c>
      <c r="S63" s="26">
        <f>6240/1.12</f>
        <v>5571.4285714285706</v>
      </c>
      <c r="T63" s="26">
        <f t="shared" ref="T63" si="49">R63*S63</f>
        <v>61285.714285714275</v>
      </c>
      <c r="U63" s="26">
        <f t="shared" ref="U63" si="50">T63*1.12</f>
        <v>68640</v>
      </c>
      <c r="V63" s="22" t="s">
        <v>30</v>
      </c>
      <c r="W63" s="22">
        <v>2015</v>
      </c>
      <c r="X63" s="22"/>
    </row>
    <row r="64" spans="1:24" s="21" customFormat="1" ht="95.25" customHeight="1" outlineLevel="1" x14ac:dyDescent="0.25">
      <c r="A64" s="22" t="s">
        <v>446</v>
      </c>
      <c r="B64" s="23" t="s">
        <v>70</v>
      </c>
      <c r="C64" s="112" t="s">
        <v>191</v>
      </c>
      <c r="D64" s="111" t="s">
        <v>189</v>
      </c>
      <c r="E64" s="111" t="s">
        <v>190</v>
      </c>
      <c r="F64" s="22"/>
      <c r="G64" s="22" t="s">
        <v>27</v>
      </c>
      <c r="H64" s="22">
        <v>0</v>
      </c>
      <c r="I64" s="22">
        <v>710000000</v>
      </c>
      <c r="J64" s="22" t="s">
        <v>71</v>
      </c>
      <c r="K64" s="22" t="s">
        <v>178</v>
      </c>
      <c r="L64" s="22" t="s">
        <v>182</v>
      </c>
      <c r="M64" s="22" t="s">
        <v>28</v>
      </c>
      <c r="N64" s="22" t="s">
        <v>78</v>
      </c>
      <c r="O64" s="24" t="s">
        <v>34</v>
      </c>
      <c r="P64" s="22">
        <v>796</v>
      </c>
      <c r="Q64" s="111" t="s">
        <v>62</v>
      </c>
      <c r="R64" s="27">
        <v>5</v>
      </c>
      <c r="S64" s="26">
        <f>640/1.12</f>
        <v>571.42857142857133</v>
      </c>
      <c r="T64" s="26">
        <f t="shared" ref="T64" si="51">R64*S64</f>
        <v>2857.1428571428569</v>
      </c>
      <c r="U64" s="26">
        <f t="shared" ref="U64" si="52">T64*1.12</f>
        <v>3200</v>
      </c>
      <c r="V64" s="22" t="s">
        <v>30</v>
      </c>
      <c r="W64" s="22">
        <v>2015</v>
      </c>
      <c r="X64" s="22"/>
    </row>
    <row r="65" spans="1:24" s="21" customFormat="1" ht="100.5" customHeight="1" outlineLevel="1" x14ac:dyDescent="0.25">
      <c r="A65" s="22" t="s">
        <v>447</v>
      </c>
      <c r="B65" s="23" t="s">
        <v>70</v>
      </c>
      <c r="C65" s="112" t="s">
        <v>191</v>
      </c>
      <c r="D65" s="111" t="s">
        <v>192</v>
      </c>
      <c r="E65" s="111" t="s">
        <v>193</v>
      </c>
      <c r="F65" s="22"/>
      <c r="G65" s="22" t="s">
        <v>27</v>
      </c>
      <c r="H65" s="22">
        <v>0</v>
      </c>
      <c r="I65" s="22">
        <v>710000000</v>
      </c>
      <c r="J65" s="22" t="s">
        <v>71</v>
      </c>
      <c r="K65" s="22" t="s">
        <v>178</v>
      </c>
      <c r="L65" s="22" t="s">
        <v>182</v>
      </c>
      <c r="M65" s="22" t="s">
        <v>28</v>
      </c>
      <c r="N65" s="22" t="s">
        <v>78</v>
      </c>
      <c r="O65" s="24" t="s">
        <v>34</v>
      </c>
      <c r="P65" s="22">
        <v>715</v>
      </c>
      <c r="Q65" s="112" t="s">
        <v>194</v>
      </c>
      <c r="R65" s="27">
        <v>30</v>
      </c>
      <c r="S65" s="26">
        <f>195/1.12</f>
        <v>174.10714285714283</v>
      </c>
      <c r="T65" s="26">
        <f t="shared" ref="T65" si="53">R65*S65</f>
        <v>5223.2142857142853</v>
      </c>
      <c r="U65" s="26">
        <f t="shared" ref="U65" si="54">T65*1.12</f>
        <v>5850</v>
      </c>
      <c r="V65" s="22" t="s">
        <v>30</v>
      </c>
      <c r="W65" s="22">
        <v>2015</v>
      </c>
      <c r="X65" s="22"/>
    </row>
    <row r="66" spans="1:24" s="21" customFormat="1" ht="101.25" customHeight="1" outlineLevel="1" x14ac:dyDescent="0.25">
      <c r="A66" s="22" t="s">
        <v>448</v>
      </c>
      <c r="B66" s="23" t="s">
        <v>70</v>
      </c>
      <c r="C66" s="112" t="s">
        <v>196</v>
      </c>
      <c r="D66" s="111" t="s">
        <v>192</v>
      </c>
      <c r="E66" s="111" t="s">
        <v>195</v>
      </c>
      <c r="F66" s="22"/>
      <c r="G66" s="22" t="s">
        <v>27</v>
      </c>
      <c r="H66" s="22">
        <v>0</v>
      </c>
      <c r="I66" s="22">
        <v>710000000</v>
      </c>
      <c r="J66" s="22" t="s">
        <v>71</v>
      </c>
      <c r="K66" s="22" t="s">
        <v>178</v>
      </c>
      <c r="L66" s="22" t="s">
        <v>182</v>
      </c>
      <c r="M66" s="22" t="s">
        <v>28</v>
      </c>
      <c r="N66" s="22" t="s">
        <v>78</v>
      </c>
      <c r="O66" s="24" t="s">
        <v>34</v>
      </c>
      <c r="P66" s="22">
        <v>715</v>
      </c>
      <c r="Q66" s="112" t="s">
        <v>194</v>
      </c>
      <c r="R66" s="27">
        <v>15</v>
      </c>
      <c r="S66" s="26">
        <f>2210/1.12</f>
        <v>1973.2142857142856</v>
      </c>
      <c r="T66" s="26">
        <f t="shared" ref="T66:T67" si="55">R66*S66</f>
        <v>29598.214285714283</v>
      </c>
      <c r="U66" s="26">
        <f t="shared" ref="U66:U67" si="56">T66*1.12</f>
        <v>33150</v>
      </c>
      <c r="V66" s="22" t="s">
        <v>30</v>
      </c>
      <c r="W66" s="22">
        <v>2015</v>
      </c>
      <c r="X66" s="22"/>
    </row>
    <row r="67" spans="1:24" s="21" customFormat="1" ht="113.25" customHeight="1" outlineLevel="1" x14ac:dyDescent="0.25">
      <c r="A67" s="22" t="s">
        <v>449</v>
      </c>
      <c r="B67" s="23" t="s">
        <v>70</v>
      </c>
      <c r="C67" s="112" t="s">
        <v>199</v>
      </c>
      <c r="D67" s="111" t="s">
        <v>197</v>
      </c>
      <c r="E67" s="111" t="s">
        <v>198</v>
      </c>
      <c r="F67" s="22"/>
      <c r="G67" s="22" t="s">
        <v>27</v>
      </c>
      <c r="H67" s="22">
        <v>0</v>
      </c>
      <c r="I67" s="22">
        <v>710000000</v>
      </c>
      <c r="J67" s="22" t="s">
        <v>71</v>
      </c>
      <c r="K67" s="22" t="s">
        <v>178</v>
      </c>
      <c r="L67" s="22" t="s">
        <v>182</v>
      </c>
      <c r="M67" s="22" t="s">
        <v>28</v>
      </c>
      <c r="N67" s="22" t="s">
        <v>78</v>
      </c>
      <c r="O67" s="24" t="s">
        <v>34</v>
      </c>
      <c r="P67" s="22">
        <v>839</v>
      </c>
      <c r="Q67" s="111" t="s">
        <v>117</v>
      </c>
      <c r="R67" s="27">
        <v>10</v>
      </c>
      <c r="S67" s="26">
        <f>9400/1.12</f>
        <v>8392.8571428571413</v>
      </c>
      <c r="T67" s="26">
        <f t="shared" si="55"/>
        <v>83928.57142857142</v>
      </c>
      <c r="U67" s="26">
        <f t="shared" si="56"/>
        <v>94000</v>
      </c>
      <c r="V67" s="22" t="s">
        <v>30</v>
      </c>
      <c r="W67" s="22">
        <v>2015</v>
      </c>
      <c r="X67" s="22"/>
    </row>
    <row r="68" spans="1:24" s="21" customFormat="1" ht="92.25" customHeight="1" outlineLevel="1" x14ac:dyDescent="0.25">
      <c r="A68" s="22" t="s">
        <v>450</v>
      </c>
      <c r="B68" s="23" t="s">
        <v>70</v>
      </c>
      <c r="C68" s="111" t="s">
        <v>202</v>
      </c>
      <c r="D68" s="111" t="s">
        <v>200</v>
      </c>
      <c r="E68" s="111" t="s">
        <v>201</v>
      </c>
      <c r="F68" s="22"/>
      <c r="G68" s="22" t="s">
        <v>27</v>
      </c>
      <c r="H68" s="22">
        <v>0</v>
      </c>
      <c r="I68" s="22">
        <v>710000000</v>
      </c>
      <c r="J68" s="22" t="s">
        <v>71</v>
      </c>
      <c r="K68" s="22" t="s">
        <v>178</v>
      </c>
      <c r="L68" s="22" t="s">
        <v>182</v>
      </c>
      <c r="M68" s="22" t="s">
        <v>28</v>
      </c>
      <c r="N68" s="22" t="s">
        <v>78</v>
      </c>
      <c r="O68" s="24" t="s">
        <v>34</v>
      </c>
      <c r="P68" s="22">
        <v>715</v>
      </c>
      <c r="Q68" s="112" t="s">
        <v>194</v>
      </c>
      <c r="R68" s="27">
        <v>5</v>
      </c>
      <c r="S68" s="26">
        <f>7000/1.12</f>
        <v>6249.9999999999991</v>
      </c>
      <c r="T68" s="26">
        <f t="shared" ref="T68" si="57">R68*S68</f>
        <v>31249.999999999996</v>
      </c>
      <c r="U68" s="26">
        <f t="shared" ref="U68" si="58">T68*1.12</f>
        <v>35000</v>
      </c>
      <c r="V68" s="22" t="s">
        <v>30</v>
      </c>
      <c r="W68" s="22">
        <v>2015</v>
      </c>
      <c r="X68" s="22"/>
    </row>
    <row r="69" spans="1:24" s="21" customFormat="1" ht="96.75" customHeight="1" outlineLevel="1" x14ac:dyDescent="0.25">
      <c r="A69" s="22" t="s">
        <v>303</v>
      </c>
      <c r="B69" s="23" t="s">
        <v>70</v>
      </c>
      <c r="C69" s="111" t="s">
        <v>204</v>
      </c>
      <c r="D69" s="111" t="s">
        <v>200</v>
      </c>
      <c r="E69" s="111" t="s">
        <v>203</v>
      </c>
      <c r="F69" s="22"/>
      <c r="G69" s="22" t="s">
        <v>27</v>
      </c>
      <c r="H69" s="22">
        <v>0</v>
      </c>
      <c r="I69" s="22">
        <v>710000000</v>
      </c>
      <c r="J69" s="22" t="s">
        <v>71</v>
      </c>
      <c r="K69" s="22" t="s">
        <v>178</v>
      </c>
      <c r="L69" s="22" t="s">
        <v>182</v>
      </c>
      <c r="M69" s="22" t="s">
        <v>28</v>
      </c>
      <c r="N69" s="22" t="s">
        <v>78</v>
      </c>
      <c r="O69" s="24" t="s">
        <v>34</v>
      </c>
      <c r="P69" s="22">
        <v>715</v>
      </c>
      <c r="Q69" s="112" t="s">
        <v>194</v>
      </c>
      <c r="R69" s="27">
        <v>11</v>
      </c>
      <c r="S69" s="26">
        <f>4300/1.12</f>
        <v>3839.2857142857138</v>
      </c>
      <c r="T69" s="26">
        <f t="shared" ref="T69" si="59">R69*S69</f>
        <v>42232.142857142855</v>
      </c>
      <c r="U69" s="26">
        <f t="shared" ref="U69" si="60">T69*1.12</f>
        <v>47300</v>
      </c>
      <c r="V69" s="22" t="s">
        <v>30</v>
      </c>
      <c r="W69" s="22">
        <v>2015</v>
      </c>
      <c r="X69" s="22"/>
    </row>
    <row r="70" spans="1:24" s="21" customFormat="1" ht="93.75" customHeight="1" outlineLevel="1" x14ac:dyDescent="0.25">
      <c r="A70" s="22" t="s">
        <v>304</v>
      </c>
      <c r="B70" s="23" t="s">
        <v>70</v>
      </c>
      <c r="C70" s="112" t="s">
        <v>207</v>
      </c>
      <c r="D70" s="111" t="s">
        <v>205</v>
      </c>
      <c r="E70" s="111" t="s">
        <v>206</v>
      </c>
      <c r="F70" s="22"/>
      <c r="G70" s="22" t="s">
        <v>27</v>
      </c>
      <c r="H70" s="22">
        <v>0</v>
      </c>
      <c r="I70" s="22">
        <v>710000000</v>
      </c>
      <c r="J70" s="22" t="s">
        <v>71</v>
      </c>
      <c r="K70" s="22" t="s">
        <v>178</v>
      </c>
      <c r="L70" s="22" t="s">
        <v>182</v>
      </c>
      <c r="M70" s="22" t="s">
        <v>28</v>
      </c>
      <c r="N70" s="22" t="s">
        <v>78</v>
      </c>
      <c r="O70" s="24" t="s">
        <v>34</v>
      </c>
      <c r="P70" s="22">
        <v>796</v>
      </c>
      <c r="Q70" s="111" t="s">
        <v>62</v>
      </c>
      <c r="R70" s="27">
        <v>7</v>
      </c>
      <c r="S70" s="26">
        <f>1397/1.12</f>
        <v>1247.3214285714284</v>
      </c>
      <c r="T70" s="26">
        <f t="shared" ref="T70" si="61">R70*S70</f>
        <v>8731.25</v>
      </c>
      <c r="U70" s="26">
        <f t="shared" ref="U70" si="62">T70*1.12</f>
        <v>9779.0000000000018</v>
      </c>
      <c r="V70" s="22" t="s">
        <v>30</v>
      </c>
      <c r="W70" s="22">
        <v>2015</v>
      </c>
      <c r="X70" s="22"/>
    </row>
    <row r="71" spans="1:24" s="21" customFormat="1" ht="74.25" customHeight="1" outlineLevel="1" x14ac:dyDescent="0.25">
      <c r="A71" s="22" t="s">
        <v>305</v>
      </c>
      <c r="B71" s="23" t="s">
        <v>70</v>
      </c>
      <c r="C71" s="112" t="s">
        <v>210</v>
      </c>
      <c r="D71" s="111" t="s">
        <v>208</v>
      </c>
      <c r="E71" s="111" t="s">
        <v>209</v>
      </c>
      <c r="F71" s="22" t="s">
        <v>211</v>
      </c>
      <c r="G71" s="22" t="s">
        <v>27</v>
      </c>
      <c r="H71" s="22">
        <v>0</v>
      </c>
      <c r="I71" s="22">
        <v>710000000</v>
      </c>
      <c r="J71" s="22" t="s">
        <v>71</v>
      </c>
      <c r="K71" s="22" t="s">
        <v>216</v>
      </c>
      <c r="L71" s="22" t="s">
        <v>217</v>
      </c>
      <c r="M71" s="22" t="s">
        <v>28</v>
      </c>
      <c r="N71" s="22" t="s">
        <v>78</v>
      </c>
      <c r="O71" s="24" t="s">
        <v>34</v>
      </c>
      <c r="P71" s="22">
        <v>5111</v>
      </c>
      <c r="Q71" s="112" t="s">
        <v>212</v>
      </c>
      <c r="R71" s="27">
        <v>15</v>
      </c>
      <c r="S71" s="26">
        <f>222/1.12</f>
        <v>198.21428571428569</v>
      </c>
      <c r="T71" s="26">
        <f t="shared" ref="T71" si="63">R71*S71</f>
        <v>2973.2142857142853</v>
      </c>
      <c r="U71" s="26">
        <f t="shared" ref="U71" si="64">T71*1.12</f>
        <v>3330</v>
      </c>
      <c r="V71" s="22" t="s">
        <v>30</v>
      </c>
      <c r="W71" s="22">
        <v>2015</v>
      </c>
      <c r="X71" s="22"/>
    </row>
    <row r="72" spans="1:24" s="21" customFormat="1" ht="74.25" customHeight="1" outlineLevel="1" x14ac:dyDescent="0.25">
      <c r="A72" s="22" t="s">
        <v>306</v>
      </c>
      <c r="B72" s="23" t="s">
        <v>70</v>
      </c>
      <c r="C72" s="112" t="s">
        <v>215</v>
      </c>
      <c r="D72" s="111" t="s">
        <v>213</v>
      </c>
      <c r="E72" s="111" t="s">
        <v>214</v>
      </c>
      <c r="F72" s="22"/>
      <c r="G72" s="22" t="s">
        <v>27</v>
      </c>
      <c r="H72" s="22">
        <v>0</v>
      </c>
      <c r="I72" s="22">
        <v>710000000</v>
      </c>
      <c r="J72" s="22" t="s">
        <v>71</v>
      </c>
      <c r="K72" s="22" t="s">
        <v>216</v>
      </c>
      <c r="L72" s="22" t="s">
        <v>217</v>
      </c>
      <c r="M72" s="22" t="s">
        <v>28</v>
      </c>
      <c r="N72" s="22" t="s">
        <v>78</v>
      </c>
      <c r="O72" s="24" t="s">
        <v>34</v>
      </c>
      <c r="P72" s="22">
        <v>5111</v>
      </c>
      <c r="Q72" s="112" t="s">
        <v>212</v>
      </c>
      <c r="R72" s="27">
        <v>120</v>
      </c>
      <c r="S72" s="26">
        <f>650/1.12</f>
        <v>580.35714285714278</v>
      </c>
      <c r="T72" s="26">
        <f t="shared" ref="T72" si="65">R72*S72</f>
        <v>69642.85714285713</v>
      </c>
      <c r="U72" s="26">
        <f t="shared" ref="U72" si="66">T72*1.12</f>
        <v>78000</v>
      </c>
      <c r="V72" s="22" t="s">
        <v>30</v>
      </c>
      <c r="W72" s="22">
        <v>2015</v>
      </c>
      <c r="X72" s="22"/>
    </row>
    <row r="73" spans="1:24" s="21" customFormat="1" ht="74.25" customHeight="1" outlineLevel="1" x14ac:dyDescent="0.25">
      <c r="A73" s="22" t="s">
        <v>307</v>
      </c>
      <c r="B73" s="23" t="s">
        <v>70</v>
      </c>
      <c r="C73" s="112" t="s">
        <v>220</v>
      </c>
      <c r="D73" s="111" t="s">
        <v>218</v>
      </c>
      <c r="E73" s="111" t="s">
        <v>219</v>
      </c>
      <c r="F73" s="22"/>
      <c r="G73" s="22" t="s">
        <v>27</v>
      </c>
      <c r="H73" s="22">
        <v>0</v>
      </c>
      <c r="I73" s="22">
        <v>710000000</v>
      </c>
      <c r="J73" s="22" t="s">
        <v>71</v>
      </c>
      <c r="K73" s="22" t="s">
        <v>216</v>
      </c>
      <c r="L73" s="22" t="s">
        <v>217</v>
      </c>
      <c r="M73" s="22" t="s">
        <v>28</v>
      </c>
      <c r="N73" s="22" t="s">
        <v>78</v>
      </c>
      <c r="O73" s="24" t="s">
        <v>34</v>
      </c>
      <c r="P73" s="22">
        <v>796</v>
      </c>
      <c r="Q73" s="111" t="s">
        <v>62</v>
      </c>
      <c r="R73" s="27">
        <v>80</v>
      </c>
      <c r="S73" s="26">
        <f>40/1.12</f>
        <v>35.714285714285708</v>
      </c>
      <c r="T73" s="26">
        <f t="shared" ref="T73" si="67">R73*S73</f>
        <v>2857.1428571428569</v>
      </c>
      <c r="U73" s="26">
        <f t="shared" ref="U73" si="68">T73*1.12</f>
        <v>3200</v>
      </c>
      <c r="V73" s="22" t="s">
        <v>30</v>
      </c>
      <c r="W73" s="22">
        <v>2015</v>
      </c>
      <c r="X73" s="22"/>
    </row>
    <row r="74" spans="1:24" s="21" customFormat="1" ht="74.25" customHeight="1" outlineLevel="1" x14ac:dyDescent="0.25">
      <c r="A74" s="22" t="s">
        <v>308</v>
      </c>
      <c r="B74" s="23" t="s">
        <v>70</v>
      </c>
      <c r="C74" s="111" t="s">
        <v>225</v>
      </c>
      <c r="D74" s="111" t="s">
        <v>221</v>
      </c>
      <c r="E74" s="111" t="s">
        <v>222</v>
      </c>
      <c r="F74" s="22"/>
      <c r="G74" s="22" t="s">
        <v>27</v>
      </c>
      <c r="H74" s="22">
        <v>0</v>
      </c>
      <c r="I74" s="22">
        <v>710000000</v>
      </c>
      <c r="J74" s="22" t="s">
        <v>71</v>
      </c>
      <c r="K74" s="22" t="s">
        <v>216</v>
      </c>
      <c r="L74" s="22" t="s">
        <v>217</v>
      </c>
      <c r="M74" s="22" t="s">
        <v>28</v>
      </c>
      <c r="N74" s="22" t="s">
        <v>78</v>
      </c>
      <c r="O74" s="24" t="s">
        <v>34</v>
      </c>
      <c r="P74" s="22">
        <v>796</v>
      </c>
      <c r="Q74" s="111" t="s">
        <v>62</v>
      </c>
      <c r="R74" s="27">
        <v>30</v>
      </c>
      <c r="S74" s="26">
        <f>48/1.12</f>
        <v>42.857142857142854</v>
      </c>
      <c r="T74" s="26">
        <f t="shared" ref="T74" si="69">R74*S74</f>
        <v>1285.7142857142856</v>
      </c>
      <c r="U74" s="26">
        <f t="shared" ref="U74" si="70">T74*1.12</f>
        <v>1440</v>
      </c>
      <c r="V74" s="22" t="s">
        <v>30</v>
      </c>
      <c r="W74" s="22">
        <v>2015</v>
      </c>
      <c r="X74" s="22"/>
    </row>
    <row r="75" spans="1:24" s="21" customFormat="1" ht="74.25" customHeight="1" outlineLevel="1" x14ac:dyDescent="0.25">
      <c r="A75" s="22" t="s">
        <v>309</v>
      </c>
      <c r="B75" s="23" t="s">
        <v>70</v>
      </c>
      <c r="C75" s="112" t="s">
        <v>226</v>
      </c>
      <c r="D75" s="111" t="s">
        <v>223</v>
      </c>
      <c r="E75" s="111" t="s">
        <v>224</v>
      </c>
      <c r="F75" s="22" t="s">
        <v>227</v>
      </c>
      <c r="G75" s="22" t="s">
        <v>27</v>
      </c>
      <c r="H75" s="22">
        <v>0</v>
      </c>
      <c r="I75" s="22">
        <v>710000000</v>
      </c>
      <c r="J75" s="22" t="s">
        <v>71</v>
      </c>
      <c r="K75" s="22" t="s">
        <v>216</v>
      </c>
      <c r="L75" s="22" t="s">
        <v>217</v>
      </c>
      <c r="M75" s="22" t="s">
        <v>28</v>
      </c>
      <c r="N75" s="22" t="s">
        <v>78</v>
      </c>
      <c r="O75" s="24" t="s">
        <v>34</v>
      </c>
      <c r="P75" s="22">
        <v>796</v>
      </c>
      <c r="Q75" s="111" t="s">
        <v>62</v>
      </c>
      <c r="R75" s="27">
        <v>7</v>
      </c>
      <c r="S75" s="26">
        <f>590/1.12</f>
        <v>526.78571428571422</v>
      </c>
      <c r="T75" s="26">
        <f t="shared" ref="T75" si="71">R75*S75</f>
        <v>3687.4999999999995</v>
      </c>
      <c r="U75" s="26">
        <f t="shared" ref="U75" si="72">T75*1.12</f>
        <v>4130</v>
      </c>
      <c r="V75" s="22" t="s">
        <v>30</v>
      </c>
      <c r="W75" s="22">
        <v>2015</v>
      </c>
      <c r="X75" s="22"/>
    </row>
    <row r="76" spans="1:24" s="21" customFormat="1" ht="74.25" customHeight="1" outlineLevel="1" x14ac:dyDescent="0.25">
      <c r="A76" s="22" t="s">
        <v>310</v>
      </c>
      <c r="B76" s="23" t="s">
        <v>70</v>
      </c>
      <c r="C76" s="112" t="s">
        <v>229</v>
      </c>
      <c r="D76" s="111" t="s">
        <v>228</v>
      </c>
      <c r="E76" s="111" t="s">
        <v>228</v>
      </c>
      <c r="F76" s="22"/>
      <c r="G76" s="22" t="s">
        <v>27</v>
      </c>
      <c r="H76" s="22">
        <v>0</v>
      </c>
      <c r="I76" s="22">
        <v>710000000</v>
      </c>
      <c r="J76" s="22" t="s">
        <v>71</v>
      </c>
      <c r="K76" s="22" t="s">
        <v>216</v>
      </c>
      <c r="L76" s="22" t="s">
        <v>217</v>
      </c>
      <c r="M76" s="22" t="s">
        <v>28</v>
      </c>
      <c r="N76" s="22" t="s">
        <v>78</v>
      </c>
      <c r="O76" s="24" t="s">
        <v>34</v>
      </c>
      <c r="P76" s="22">
        <v>796</v>
      </c>
      <c r="Q76" s="111" t="s">
        <v>62</v>
      </c>
      <c r="R76" s="27">
        <v>7</v>
      </c>
      <c r="S76" s="26">
        <f>187/1.12</f>
        <v>166.96428571428569</v>
      </c>
      <c r="T76" s="26">
        <f t="shared" ref="T76" si="73">R76*S76</f>
        <v>1168.7499999999998</v>
      </c>
      <c r="U76" s="26">
        <f t="shared" ref="U76" si="74">T76*1.12</f>
        <v>1308.9999999999998</v>
      </c>
      <c r="V76" s="22" t="s">
        <v>30</v>
      </c>
      <c r="W76" s="22">
        <v>2015</v>
      </c>
      <c r="X76" s="22"/>
    </row>
    <row r="77" spans="1:24" s="21" customFormat="1" ht="74.25" customHeight="1" outlineLevel="1" x14ac:dyDescent="0.25">
      <c r="A77" s="22" t="s">
        <v>311</v>
      </c>
      <c r="B77" s="23" t="s">
        <v>70</v>
      </c>
      <c r="C77" s="111" t="s">
        <v>232</v>
      </c>
      <c r="D77" s="111" t="s">
        <v>230</v>
      </c>
      <c r="E77" s="111" t="s">
        <v>231</v>
      </c>
      <c r="F77" s="22"/>
      <c r="G77" s="22" t="s">
        <v>27</v>
      </c>
      <c r="H77" s="22">
        <v>0</v>
      </c>
      <c r="I77" s="22">
        <v>710000000</v>
      </c>
      <c r="J77" s="22" t="s">
        <v>71</v>
      </c>
      <c r="K77" s="22" t="s">
        <v>216</v>
      </c>
      <c r="L77" s="22" t="s">
        <v>217</v>
      </c>
      <c r="M77" s="22" t="s">
        <v>28</v>
      </c>
      <c r="N77" s="22" t="s">
        <v>78</v>
      </c>
      <c r="O77" s="24" t="s">
        <v>34</v>
      </c>
      <c r="P77" s="22">
        <v>796</v>
      </c>
      <c r="Q77" s="111" t="s">
        <v>62</v>
      </c>
      <c r="R77" s="27">
        <v>8</v>
      </c>
      <c r="S77" s="26">
        <f>87/1.12</f>
        <v>77.678571428571416</v>
      </c>
      <c r="T77" s="26">
        <f t="shared" ref="T77" si="75">R77*S77</f>
        <v>621.42857142857133</v>
      </c>
      <c r="U77" s="26">
        <f t="shared" ref="U77" si="76">T77*1.12</f>
        <v>696</v>
      </c>
      <c r="V77" s="22" t="s">
        <v>30</v>
      </c>
      <c r="W77" s="22">
        <v>2015</v>
      </c>
      <c r="X77" s="22"/>
    </row>
    <row r="78" spans="1:24" s="21" customFormat="1" ht="74.25" customHeight="1" outlineLevel="1" x14ac:dyDescent="0.25">
      <c r="A78" s="22" t="s">
        <v>312</v>
      </c>
      <c r="B78" s="23" t="s">
        <v>70</v>
      </c>
      <c r="C78" s="112" t="s">
        <v>235</v>
      </c>
      <c r="D78" s="111" t="s">
        <v>233</v>
      </c>
      <c r="E78" s="111" t="s">
        <v>234</v>
      </c>
      <c r="F78" s="22"/>
      <c r="G78" s="22" t="s">
        <v>27</v>
      </c>
      <c r="H78" s="22">
        <v>0</v>
      </c>
      <c r="I78" s="22">
        <v>710000000</v>
      </c>
      <c r="J78" s="22" t="s">
        <v>71</v>
      </c>
      <c r="K78" s="22" t="s">
        <v>216</v>
      </c>
      <c r="L78" s="22" t="s">
        <v>217</v>
      </c>
      <c r="M78" s="22" t="s">
        <v>28</v>
      </c>
      <c r="N78" s="22" t="s">
        <v>78</v>
      </c>
      <c r="O78" s="24" t="s">
        <v>34</v>
      </c>
      <c r="P78" s="22">
        <v>796</v>
      </c>
      <c r="Q78" s="111" t="s">
        <v>62</v>
      </c>
      <c r="R78" s="27">
        <v>10</v>
      </c>
      <c r="S78" s="26">
        <f>22/1.12</f>
        <v>19.642857142857142</v>
      </c>
      <c r="T78" s="26">
        <f t="shared" ref="T78" si="77">R78*S78</f>
        <v>196.42857142857142</v>
      </c>
      <c r="U78" s="26">
        <f t="shared" ref="U78" si="78">T78*1.12</f>
        <v>220</v>
      </c>
      <c r="V78" s="22" t="s">
        <v>30</v>
      </c>
      <c r="W78" s="22">
        <v>2015</v>
      </c>
      <c r="X78" s="22"/>
    </row>
    <row r="79" spans="1:24" s="21" customFormat="1" ht="74.25" customHeight="1" outlineLevel="1" x14ac:dyDescent="0.25">
      <c r="A79" s="22" t="s">
        <v>313</v>
      </c>
      <c r="B79" s="23" t="s">
        <v>70</v>
      </c>
      <c r="C79" s="112" t="s">
        <v>238</v>
      </c>
      <c r="D79" s="111" t="s">
        <v>236</v>
      </c>
      <c r="E79" s="111" t="s">
        <v>237</v>
      </c>
      <c r="F79" s="22"/>
      <c r="G79" s="22" t="s">
        <v>27</v>
      </c>
      <c r="H79" s="22">
        <v>0</v>
      </c>
      <c r="I79" s="22">
        <v>710000000</v>
      </c>
      <c r="J79" s="22" t="s">
        <v>71</v>
      </c>
      <c r="K79" s="22" t="s">
        <v>216</v>
      </c>
      <c r="L79" s="22" t="s">
        <v>217</v>
      </c>
      <c r="M79" s="22" t="s">
        <v>28</v>
      </c>
      <c r="N79" s="22" t="s">
        <v>78</v>
      </c>
      <c r="O79" s="24" t="s">
        <v>34</v>
      </c>
      <c r="P79" s="22">
        <v>796</v>
      </c>
      <c r="Q79" s="111" t="s">
        <v>62</v>
      </c>
      <c r="R79" s="27">
        <v>10</v>
      </c>
      <c r="S79" s="26">
        <f>72/1.12</f>
        <v>64.285714285714278</v>
      </c>
      <c r="T79" s="26">
        <f t="shared" ref="T79" si="79">R79*S79</f>
        <v>642.85714285714278</v>
      </c>
      <c r="U79" s="26">
        <f t="shared" ref="U79" si="80">T79*1.12</f>
        <v>720</v>
      </c>
      <c r="V79" s="22" t="s">
        <v>30</v>
      </c>
      <c r="W79" s="22">
        <v>2015</v>
      </c>
      <c r="X79" s="22"/>
    </row>
    <row r="80" spans="1:24" s="21" customFormat="1" ht="74.25" customHeight="1" outlineLevel="1" x14ac:dyDescent="0.25">
      <c r="A80" s="22" t="s">
        <v>314</v>
      </c>
      <c r="B80" s="23" t="s">
        <v>70</v>
      </c>
      <c r="C80" s="112" t="s">
        <v>241</v>
      </c>
      <c r="D80" s="111" t="s">
        <v>239</v>
      </c>
      <c r="E80" s="111" t="s">
        <v>240</v>
      </c>
      <c r="F80" s="22"/>
      <c r="G80" s="22" t="s">
        <v>27</v>
      </c>
      <c r="H80" s="22">
        <v>0</v>
      </c>
      <c r="I80" s="22">
        <v>710000000</v>
      </c>
      <c r="J80" s="22" t="s">
        <v>71</v>
      </c>
      <c r="K80" s="22" t="s">
        <v>216</v>
      </c>
      <c r="L80" s="22" t="s">
        <v>217</v>
      </c>
      <c r="M80" s="22" t="s">
        <v>28</v>
      </c>
      <c r="N80" s="22" t="s">
        <v>78</v>
      </c>
      <c r="O80" s="24" t="s">
        <v>34</v>
      </c>
      <c r="P80" s="22">
        <v>796</v>
      </c>
      <c r="Q80" s="111" t="s">
        <v>62</v>
      </c>
      <c r="R80" s="27">
        <v>7</v>
      </c>
      <c r="S80" s="26">
        <f>61/1.12</f>
        <v>54.464285714285708</v>
      </c>
      <c r="T80" s="26">
        <f t="shared" ref="T80" si="81">R80*S80</f>
        <v>381.24999999999994</v>
      </c>
      <c r="U80" s="26">
        <f t="shared" ref="U80" si="82">T80*1.12</f>
        <v>427</v>
      </c>
      <c r="V80" s="22" t="s">
        <v>30</v>
      </c>
      <c r="W80" s="22">
        <v>2015</v>
      </c>
      <c r="X80" s="22"/>
    </row>
    <row r="81" spans="1:24" s="21" customFormat="1" ht="74.25" customHeight="1" outlineLevel="1" x14ac:dyDescent="0.25">
      <c r="A81" s="22" t="s">
        <v>315</v>
      </c>
      <c r="B81" s="23" t="s">
        <v>70</v>
      </c>
      <c r="C81" s="112" t="s">
        <v>244</v>
      </c>
      <c r="D81" s="111" t="s">
        <v>242</v>
      </c>
      <c r="E81" s="111" t="s">
        <v>243</v>
      </c>
      <c r="F81" s="22"/>
      <c r="G81" s="22" t="s">
        <v>27</v>
      </c>
      <c r="H81" s="22">
        <v>0</v>
      </c>
      <c r="I81" s="22">
        <v>710000000</v>
      </c>
      <c r="J81" s="22" t="s">
        <v>71</v>
      </c>
      <c r="K81" s="22" t="s">
        <v>216</v>
      </c>
      <c r="L81" s="22" t="s">
        <v>217</v>
      </c>
      <c r="M81" s="22" t="s">
        <v>28</v>
      </c>
      <c r="N81" s="22" t="s">
        <v>78</v>
      </c>
      <c r="O81" s="24" t="s">
        <v>34</v>
      </c>
      <c r="P81" s="22">
        <v>796</v>
      </c>
      <c r="Q81" s="111" t="s">
        <v>62</v>
      </c>
      <c r="R81" s="27">
        <v>40</v>
      </c>
      <c r="S81" s="26">
        <f>15/1.12</f>
        <v>13.392857142857142</v>
      </c>
      <c r="T81" s="26">
        <f t="shared" ref="T81" si="83">R81*S81</f>
        <v>535.71428571428567</v>
      </c>
      <c r="U81" s="26">
        <f t="shared" ref="U81" si="84">T81*1.12</f>
        <v>600</v>
      </c>
      <c r="V81" s="22" t="s">
        <v>30</v>
      </c>
      <c r="W81" s="22">
        <v>2015</v>
      </c>
      <c r="X81" s="22"/>
    </row>
    <row r="82" spans="1:24" s="21" customFormat="1" ht="74.25" customHeight="1" outlineLevel="1" x14ac:dyDescent="0.25">
      <c r="A82" s="22" t="s">
        <v>316</v>
      </c>
      <c r="B82" s="23" t="s">
        <v>70</v>
      </c>
      <c r="C82" s="112" t="s">
        <v>247</v>
      </c>
      <c r="D82" s="111" t="s">
        <v>245</v>
      </c>
      <c r="E82" s="111" t="s">
        <v>246</v>
      </c>
      <c r="F82" s="22"/>
      <c r="G82" s="22" t="s">
        <v>27</v>
      </c>
      <c r="H82" s="22">
        <v>0</v>
      </c>
      <c r="I82" s="22">
        <v>710000000</v>
      </c>
      <c r="J82" s="22" t="s">
        <v>71</v>
      </c>
      <c r="K82" s="22" t="s">
        <v>216</v>
      </c>
      <c r="L82" s="22" t="s">
        <v>217</v>
      </c>
      <c r="M82" s="22" t="s">
        <v>28</v>
      </c>
      <c r="N82" s="22" t="s">
        <v>78</v>
      </c>
      <c r="O82" s="24" t="s">
        <v>34</v>
      </c>
      <c r="P82" s="22">
        <v>796</v>
      </c>
      <c r="Q82" s="111" t="s">
        <v>62</v>
      </c>
      <c r="R82" s="27">
        <v>6</v>
      </c>
      <c r="S82" s="26">
        <f>160/1.12</f>
        <v>142.85714285714283</v>
      </c>
      <c r="T82" s="26">
        <f t="shared" ref="T82" si="85">R82*S82</f>
        <v>857.142857142857</v>
      </c>
      <c r="U82" s="26">
        <f t="shared" ref="U82" si="86">T82*1.12</f>
        <v>959.99999999999989</v>
      </c>
      <c r="V82" s="22" t="s">
        <v>30</v>
      </c>
      <c r="W82" s="22">
        <v>2015</v>
      </c>
      <c r="X82" s="22"/>
    </row>
    <row r="83" spans="1:24" s="21" customFormat="1" ht="74.25" customHeight="1" outlineLevel="1" x14ac:dyDescent="0.25">
      <c r="A83" s="22" t="s">
        <v>317</v>
      </c>
      <c r="B83" s="23" t="s">
        <v>70</v>
      </c>
      <c r="C83" s="112" t="s">
        <v>250</v>
      </c>
      <c r="D83" s="111" t="s">
        <v>248</v>
      </c>
      <c r="E83" s="111" t="s">
        <v>249</v>
      </c>
      <c r="F83" s="22"/>
      <c r="G83" s="22" t="s">
        <v>27</v>
      </c>
      <c r="H83" s="22">
        <v>0</v>
      </c>
      <c r="I83" s="22">
        <v>710000000</v>
      </c>
      <c r="J83" s="22" t="s">
        <v>71</v>
      </c>
      <c r="K83" s="22" t="s">
        <v>216</v>
      </c>
      <c r="L83" s="22" t="s">
        <v>217</v>
      </c>
      <c r="M83" s="22" t="s">
        <v>28</v>
      </c>
      <c r="N83" s="22" t="s">
        <v>78</v>
      </c>
      <c r="O83" s="24" t="s">
        <v>34</v>
      </c>
      <c r="P83" s="22">
        <v>796</v>
      </c>
      <c r="Q83" s="111" t="s">
        <v>62</v>
      </c>
      <c r="R83" s="27">
        <v>300</v>
      </c>
      <c r="S83" s="26">
        <f>7/1.12</f>
        <v>6.2499999999999991</v>
      </c>
      <c r="T83" s="26">
        <f t="shared" ref="T83" si="87">R83*S83</f>
        <v>1874.9999999999998</v>
      </c>
      <c r="U83" s="26">
        <f t="shared" ref="U83" si="88">T83*1.12</f>
        <v>2100</v>
      </c>
      <c r="V83" s="22" t="s">
        <v>30</v>
      </c>
      <c r="W83" s="22">
        <v>2015</v>
      </c>
      <c r="X83" s="22"/>
    </row>
    <row r="84" spans="1:24" s="21" customFormat="1" ht="74.25" customHeight="1" outlineLevel="1" x14ac:dyDescent="0.25">
      <c r="A84" s="22" t="s">
        <v>318</v>
      </c>
      <c r="B84" s="23" t="s">
        <v>70</v>
      </c>
      <c r="C84" s="112" t="s">
        <v>253</v>
      </c>
      <c r="D84" s="111" t="s">
        <v>251</v>
      </c>
      <c r="E84" s="111" t="s">
        <v>252</v>
      </c>
      <c r="F84" s="22"/>
      <c r="G84" s="22" t="s">
        <v>27</v>
      </c>
      <c r="H84" s="22">
        <v>0</v>
      </c>
      <c r="I84" s="22">
        <v>710000000</v>
      </c>
      <c r="J84" s="22" t="s">
        <v>71</v>
      </c>
      <c r="K84" s="22" t="s">
        <v>216</v>
      </c>
      <c r="L84" s="22" t="s">
        <v>217</v>
      </c>
      <c r="M84" s="22" t="s">
        <v>28</v>
      </c>
      <c r="N84" s="22" t="s">
        <v>78</v>
      </c>
      <c r="O84" s="24" t="s">
        <v>34</v>
      </c>
      <c r="P84" s="22">
        <v>796</v>
      </c>
      <c r="Q84" s="111" t="s">
        <v>62</v>
      </c>
      <c r="R84" s="27">
        <v>11</v>
      </c>
      <c r="S84" s="26">
        <v>1000</v>
      </c>
      <c r="T84" s="26">
        <f t="shared" ref="T84" si="89">R84*S84</f>
        <v>11000</v>
      </c>
      <c r="U84" s="26">
        <f t="shared" ref="U84" si="90">T84*1.12</f>
        <v>12320.000000000002</v>
      </c>
      <c r="V84" s="22" t="s">
        <v>30</v>
      </c>
      <c r="W84" s="22">
        <v>2015</v>
      </c>
      <c r="X84" s="22"/>
    </row>
    <row r="85" spans="1:24" s="21" customFormat="1" ht="74.25" customHeight="1" outlineLevel="1" x14ac:dyDescent="0.25">
      <c r="A85" s="22" t="s">
        <v>319</v>
      </c>
      <c r="B85" s="23" t="s">
        <v>70</v>
      </c>
      <c r="C85" s="112" t="s">
        <v>256</v>
      </c>
      <c r="D85" s="111" t="s">
        <v>254</v>
      </c>
      <c r="E85" s="111" t="s">
        <v>255</v>
      </c>
      <c r="F85" s="22" t="s">
        <v>257</v>
      </c>
      <c r="G85" s="22" t="s">
        <v>27</v>
      </c>
      <c r="H85" s="22">
        <v>0</v>
      </c>
      <c r="I85" s="22">
        <v>710000000</v>
      </c>
      <c r="J85" s="22" t="s">
        <v>71</v>
      </c>
      <c r="K85" s="22" t="s">
        <v>216</v>
      </c>
      <c r="L85" s="22" t="s">
        <v>217</v>
      </c>
      <c r="M85" s="22" t="s">
        <v>28</v>
      </c>
      <c r="N85" s="22" t="s">
        <v>78</v>
      </c>
      <c r="O85" s="24" t="s">
        <v>34</v>
      </c>
      <c r="P85" s="22">
        <v>796</v>
      </c>
      <c r="Q85" s="111" t="s">
        <v>62</v>
      </c>
      <c r="R85" s="27">
        <v>20</v>
      </c>
      <c r="S85" s="26">
        <f>27/1.12</f>
        <v>24.107142857142854</v>
      </c>
      <c r="T85" s="26">
        <f t="shared" ref="T85" si="91">R85*S85</f>
        <v>482.14285714285711</v>
      </c>
      <c r="U85" s="26">
        <f t="shared" ref="U85" si="92">T85*1.12</f>
        <v>540</v>
      </c>
      <c r="V85" s="22" t="s">
        <v>30</v>
      </c>
      <c r="W85" s="22">
        <v>2015</v>
      </c>
      <c r="X85" s="22"/>
    </row>
    <row r="86" spans="1:24" s="21" customFormat="1" ht="74.25" customHeight="1" outlineLevel="1" x14ac:dyDescent="0.25">
      <c r="A86" s="22" t="s">
        <v>320</v>
      </c>
      <c r="B86" s="23" t="s">
        <v>70</v>
      </c>
      <c r="C86" s="112" t="s">
        <v>256</v>
      </c>
      <c r="D86" s="111" t="s">
        <v>254</v>
      </c>
      <c r="E86" s="111" t="s">
        <v>255</v>
      </c>
      <c r="F86" s="22" t="s">
        <v>258</v>
      </c>
      <c r="G86" s="22" t="s">
        <v>27</v>
      </c>
      <c r="H86" s="22">
        <v>0</v>
      </c>
      <c r="I86" s="22">
        <v>710000000</v>
      </c>
      <c r="J86" s="22" t="s">
        <v>71</v>
      </c>
      <c r="K86" s="22" t="s">
        <v>216</v>
      </c>
      <c r="L86" s="22" t="s">
        <v>217</v>
      </c>
      <c r="M86" s="22" t="s">
        <v>28</v>
      </c>
      <c r="N86" s="22" t="s">
        <v>78</v>
      </c>
      <c r="O86" s="24" t="s">
        <v>34</v>
      </c>
      <c r="P86" s="22">
        <v>796</v>
      </c>
      <c r="Q86" s="111" t="s">
        <v>62</v>
      </c>
      <c r="R86" s="27">
        <v>20</v>
      </c>
      <c r="S86" s="26">
        <f>45/1.12</f>
        <v>40.178571428571423</v>
      </c>
      <c r="T86" s="26">
        <f t="shared" ref="T86" si="93">R86*S86</f>
        <v>803.57142857142844</v>
      </c>
      <c r="U86" s="26">
        <f t="shared" ref="U86" si="94">T86*1.12</f>
        <v>899.99999999999989</v>
      </c>
      <c r="V86" s="22" t="s">
        <v>30</v>
      </c>
      <c r="W86" s="22">
        <v>2015</v>
      </c>
      <c r="X86" s="22"/>
    </row>
    <row r="87" spans="1:24" s="21" customFormat="1" ht="74.25" customHeight="1" outlineLevel="1" x14ac:dyDescent="0.25">
      <c r="A87" s="22" t="s">
        <v>321</v>
      </c>
      <c r="B87" s="23" t="s">
        <v>70</v>
      </c>
      <c r="C87" s="112" t="s">
        <v>261</v>
      </c>
      <c r="D87" s="111" t="s">
        <v>259</v>
      </c>
      <c r="E87" s="111" t="s">
        <v>260</v>
      </c>
      <c r="F87" s="22"/>
      <c r="G87" s="22" t="s">
        <v>27</v>
      </c>
      <c r="H87" s="22">
        <v>0</v>
      </c>
      <c r="I87" s="22">
        <v>710000000</v>
      </c>
      <c r="J87" s="22" t="s">
        <v>71</v>
      </c>
      <c r="K87" s="22" t="s">
        <v>216</v>
      </c>
      <c r="L87" s="22" t="s">
        <v>217</v>
      </c>
      <c r="M87" s="22" t="s">
        <v>28</v>
      </c>
      <c r="N87" s="22" t="s">
        <v>78</v>
      </c>
      <c r="O87" s="24" t="s">
        <v>34</v>
      </c>
      <c r="P87" s="22">
        <v>796</v>
      </c>
      <c r="Q87" s="111" t="s">
        <v>62</v>
      </c>
      <c r="R87" s="27">
        <v>11</v>
      </c>
      <c r="S87" s="26">
        <f>86/1.12</f>
        <v>76.785714285714278</v>
      </c>
      <c r="T87" s="26">
        <f t="shared" ref="T87" si="95">R87*S87</f>
        <v>844.64285714285711</v>
      </c>
      <c r="U87" s="26">
        <f t="shared" ref="U87" si="96">T87*1.12</f>
        <v>946</v>
      </c>
      <c r="V87" s="22" t="s">
        <v>30</v>
      </c>
      <c r="W87" s="22">
        <v>2015</v>
      </c>
      <c r="X87" s="22"/>
    </row>
    <row r="88" spans="1:24" s="21" customFormat="1" ht="74.25" customHeight="1" outlineLevel="1" x14ac:dyDescent="0.25">
      <c r="A88" s="22" t="s">
        <v>322</v>
      </c>
      <c r="B88" s="23" t="s">
        <v>70</v>
      </c>
      <c r="C88" s="112" t="s">
        <v>264</v>
      </c>
      <c r="D88" s="111" t="s">
        <v>262</v>
      </c>
      <c r="E88" s="111" t="s">
        <v>263</v>
      </c>
      <c r="F88" s="22"/>
      <c r="G88" s="22" t="s">
        <v>27</v>
      </c>
      <c r="H88" s="22">
        <v>0</v>
      </c>
      <c r="I88" s="22">
        <v>710000000</v>
      </c>
      <c r="J88" s="22" t="s">
        <v>71</v>
      </c>
      <c r="K88" s="22" t="s">
        <v>216</v>
      </c>
      <c r="L88" s="22" t="s">
        <v>217</v>
      </c>
      <c r="M88" s="22" t="s">
        <v>28</v>
      </c>
      <c r="N88" s="22" t="s">
        <v>78</v>
      </c>
      <c r="O88" s="24" t="s">
        <v>34</v>
      </c>
      <c r="P88" s="22">
        <v>796</v>
      </c>
      <c r="Q88" s="111" t="s">
        <v>62</v>
      </c>
      <c r="R88" s="27">
        <v>15</v>
      </c>
      <c r="S88" s="26">
        <f>79/1.12</f>
        <v>70.535714285714278</v>
      </c>
      <c r="T88" s="26">
        <f t="shared" ref="T88" si="97">R88*S88</f>
        <v>1058.0357142857142</v>
      </c>
      <c r="U88" s="26">
        <f t="shared" ref="U88" si="98">T88*1.12</f>
        <v>1185</v>
      </c>
      <c r="V88" s="22" t="s">
        <v>30</v>
      </c>
      <c r="W88" s="22">
        <v>2015</v>
      </c>
      <c r="X88" s="22"/>
    </row>
    <row r="89" spans="1:24" s="21" customFormat="1" ht="74.25" customHeight="1" outlineLevel="1" x14ac:dyDescent="0.25">
      <c r="A89" s="22" t="s">
        <v>323</v>
      </c>
      <c r="B89" s="23" t="s">
        <v>70</v>
      </c>
      <c r="C89" s="112" t="s">
        <v>267</v>
      </c>
      <c r="D89" s="111" t="s">
        <v>265</v>
      </c>
      <c r="E89" s="111" t="s">
        <v>266</v>
      </c>
      <c r="F89" s="22"/>
      <c r="G89" s="22" t="s">
        <v>27</v>
      </c>
      <c r="H89" s="22">
        <v>0</v>
      </c>
      <c r="I89" s="22">
        <v>710000000</v>
      </c>
      <c r="J89" s="22" t="s">
        <v>71</v>
      </c>
      <c r="K89" s="22" t="s">
        <v>216</v>
      </c>
      <c r="L89" s="22" t="s">
        <v>217</v>
      </c>
      <c r="M89" s="22" t="s">
        <v>28</v>
      </c>
      <c r="N89" s="22" t="s">
        <v>78</v>
      </c>
      <c r="O89" s="24" t="s">
        <v>34</v>
      </c>
      <c r="P89" s="22">
        <v>796</v>
      </c>
      <c r="Q89" s="111" t="s">
        <v>62</v>
      </c>
      <c r="R89" s="27">
        <v>20</v>
      </c>
      <c r="S89" s="26">
        <f>177/1.12</f>
        <v>158.03571428571428</v>
      </c>
      <c r="T89" s="26">
        <f t="shared" ref="T89" si="99">R89*S89</f>
        <v>3160.7142857142853</v>
      </c>
      <c r="U89" s="26">
        <f t="shared" ref="U89" si="100">T89*1.12</f>
        <v>3540</v>
      </c>
      <c r="V89" s="22" t="s">
        <v>30</v>
      </c>
      <c r="W89" s="22">
        <v>2015</v>
      </c>
      <c r="X89" s="22"/>
    </row>
    <row r="90" spans="1:24" s="21" customFormat="1" ht="74.25" customHeight="1" outlineLevel="1" x14ac:dyDescent="0.25">
      <c r="A90" s="22" t="s">
        <v>324</v>
      </c>
      <c r="B90" s="23" t="s">
        <v>70</v>
      </c>
      <c r="C90" s="112" t="s">
        <v>267</v>
      </c>
      <c r="D90" s="111" t="s">
        <v>221</v>
      </c>
      <c r="E90" s="111" t="s">
        <v>268</v>
      </c>
      <c r="F90" s="22"/>
      <c r="G90" s="22" t="s">
        <v>27</v>
      </c>
      <c r="H90" s="22">
        <v>0</v>
      </c>
      <c r="I90" s="22">
        <v>710000000</v>
      </c>
      <c r="J90" s="22" t="s">
        <v>71</v>
      </c>
      <c r="K90" s="22" t="s">
        <v>216</v>
      </c>
      <c r="L90" s="22" t="s">
        <v>217</v>
      </c>
      <c r="M90" s="22" t="s">
        <v>28</v>
      </c>
      <c r="N90" s="22" t="s">
        <v>78</v>
      </c>
      <c r="O90" s="24" t="s">
        <v>34</v>
      </c>
      <c r="P90" s="22">
        <v>796</v>
      </c>
      <c r="Q90" s="111" t="s">
        <v>62</v>
      </c>
      <c r="R90" s="27">
        <v>20</v>
      </c>
      <c r="S90" s="26">
        <f>220/1.12</f>
        <v>196.42857142857142</v>
      </c>
      <c r="T90" s="26">
        <f t="shared" ref="T90" si="101">R90*S90</f>
        <v>3928.5714285714284</v>
      </c>
      <c r="U90" s="26">
        <f t="shared" ref="U90" si="102">T90*1.12</f>
        <v>4400</v>
      </c>
      <c r="V90" s="22" t="s">
        <v>30</v>
      </c>
      <c r="W90" s="22">
        <v>2015</v>
      </c>
      <c r="X90" s="22"/>
    </row>
    <row r="91" spans="1:24" s="21" customFormat="1" ht="74.25" customHeight="1" outlineLevel="1" x14ac:dyDescent="0.25">
      <c r="A91" s="22" t="s">
        <v>325</v>
      </c>
      <c r="B91" s="23" t="s">
        <v>70</v>
      </c>
      <c r="C91" s="112" t="s">
        <v>270</v>
      </c>
      <c r="D91" s="111" t="s">
        <v>221</v>
      </c>
      <c r="E91" s="111" t="s">
        <v>269</v>
      </c>
      <c r="F91" s="22"/>
      <c r="G91" s="22" t="s">
        <v>27</v>
      </c>
      <c r="H91" s="22">
        <v>0</v>
      </c>
      <c r="I91" s="22">
        <v>710000000</v>
      </c>
      <c r="J91" s="22" t="s">
        <v>71</v>
      </c>
      <c r="K91" s="22" t="s">
        <v>216</v>
      </c>
      <c r="L91" s="22" t="s">
        <v>217</v>
      </c>
      <c r="M91" s="22" t="s">
        <v>28</v>
      </c>
      <c r="N91" s="22" t="s">
        <v>78</v>
      </c>
      <c r="O91" s="24" t="s">
        <v>34</v>
      </c>
      <c r="P91" s="22">
        <v>796</v>
      </c>
      <c r="Q91" s="111" t="s">
        <v>62</v>
      </c>
      <c r="R91" s="27">
        <v>40</v>
      </c>
      <c r="S91" s="26">
        <f>350/1.12</f>
        <v>312.49999999999994</v>
      </c>
      <c r="T91" s="26">
        <f t="shared" ref="T91" si="103">R91*S91</f>
        <v>12499.999999999998</v>
      </c>
      <c r="U91" s="26">
        <f t="shared" ref="U91" si="104">T91*1.12</f>
        <v>14000</v>
      </c>
      <c r="V91" s="22" t="s">
        <v>30</v>
      </c>
      <c r="W91" s="22">
        <v>2015</v>
      </c>
      <c r="X91" s="22"/>
    </row>
    <row r="92" spans="1:24" s="21" customFormat="1" ht="74.25" customHeight="1" outlineLevel="1" x14ac:dyDescent="0.25">
      <c r="A92" s="22" t="s">
        <v>326</v>
      </c>
      <c r="B92" s="23" t="s">
        <v>70</v>
      </c>
      <c r="C92" s="111" t="s">
        <v>273</v>
      </c>
      <c r="D92" s="111" t="s">
        <v>271</v>
      </c>
      <c r="E92" s="111" t="s">
        <v>272</v>
      </c>
      <c r="F92" s="22"/>
      <c r="G92" s="22" t="s">
        <v>27</v>
      </c>
      <c r="H92" s="22">
        <v>0</v>
      </c>
      <c r="I92" s="22">
        <v>710000000</v>
      </c>
      <c r="J92" s="22" t="s">
        <v>71</v>
      </c>
      <c r="K92" s="22" t="s">
        <v>216</v>
      </c>
      <c r="L92" s="22" t="s">
        <v>217</v>
      </c>
      <c r="M92" s="22" t="s">
        <v>28</v>
      </c>
      <c r="N92" s="22" t="s">
        <v>78</v>
      </c>
      <c r="O92" s="24" t="s">
        <v>34</v>
      </c>
      <c r="P92" s="22">
        <v>796</v>
      </c>
      <c r="Q92" s="111" t="s">
        <v>62</v>
      </c>
      <c r="R92" s="27">
        <v>11</v>
      </c>
      <c r="S92" s="26">
        <v>1000</v>
      </c>
      <c r="T92" s="26">
        <f t="shared" ref="T92" si="105">R92*S92</f>
        <v>11000</v>
      </c>
      <c r="U92" s="26">
        <f t="shared" ref="U92" si="106">T92*1.12</f>
        <v>12320.000000000002</v>
      </c>
      <c r="V92" s="22" t="s">
        <v>30</v>
      </c>
      <c r="W92" s="22">
        <v>2015</v>
      </c>
      <c r="X92" s="22"/>
    </row>
    <row r="93" spans="1:24" s="21" customFormat="1" ht="74.25" customHeight="1" outlineLevel="1" x14ac:dyDescent="0.25">
      <c r="A93" s="22" t="s">
        <v>327</v>
      </c>
      <c r="B93" s="23" t="s">
        <v>70</v>
      </c>
      <c r="C93" s="112" t="s">
        <v>276</v>
      </c>
      <c r="D93" s="111" t="s">
        <v>274</v>
      </c>
      <c r="E93" s="111" t="s">
        <v>275</v>
      </c>
      <c r="F93" s="22"/>
      <c r="G93" s="22" t="s">
        <v>27</v>
      </c>
      <c r="H93" s="22">
        <v>0</v>
      </c>
      <c r="I93" s="22">
        <v>710000000</v>
      </c>
      <c r="J93" s="22" t="s">
        <v>71</v>
      </c>
      <c r="K93" s="22" t="s">
        <v>216</v>
      </c>
      <c r="L93" s="22" t="s">
        <v>217</v>
      </c>
      <c r="M93" s="22" t="s">
        <v>28</v>
      </c>
      <c r="N93" s="22" t="s">
        <v>78</v>
      </c>
      <c r="O93" s="24" t="s">
        <v>34</v>
      </c>
      <c r="P93" s="22">
        <v>796</v>
      </c>
      <c r="Q93" s="111" t="s">
        <v>62</v>
      </c>
      <c r="R93" s="27">
        <v>5</v>
      </c>
      <c r="S93" s="26">
        <f>300/1.12</f>
        <v>267.85714285714283</v>
      </c>
      <c r="T93" s="26">
        <f t="shared" ref="T93" si="107">R93*S93</f>
        <v>1339.2857142857142</v>
      </c>
      <c r="U93" s="26">
        <f t="shared" ref="U93" si="108">T93*1.12</f>
        <v>1500</v>
      </c>
      <c r="V93" s="22" t="s">
        <v>30</v>
      </c>
      <c r="W93" s="22">
        <v>2015</v>
      </c>
      <c r="X93" s="22"/>
    </row>
    <row r="94" spans="1:24" s="21" customFormat="1" ht="74.25" customHeight="1" outlineLevel="1" x14ac:dyDescent="0.25">
      <c r="A94" s="22" t="s">
        <v>328</v>
      </c>
      <c r="B94" s="23" t="s">
        <v>70</v>
      </c>
      <c r="C94" s="112" t="s">
        <v>279</v>
      </c>
      <c r="D94" s="111" t="s">
        <v>277</v>
      </c>
      <c r="E94" s="111" t="s">
        <v>278</v>
      </c>
      <c r="F94" s="22"/>
      <c r="G94" s="22" t="s">
        <v>27</v>
      </c>
      <c r="H94" s="22">
        <v>0</v>
      </c>
      <c r="I94" s="22">
        <v>710000000</v>
      </c>
      <c r="J94" s="22" t="s">
        <v>71</v>
      </c>
      <c r="K94" s="22" t="s">
        <v>216</v>
      </c>
      <c r="L94" s="22" t="s">
        <v>217</v>
      </c>
      <c r="M94" s="22" t="s">
        <v>28</v>
      </c>
      <c r="N94" s="22" t="s">
        <v>78</v>
      </c>
      <c r="O94" s="24" t="s">
        <v>34</v>
      </c>
      <c r="P94" s="22">
        <v>796</v>
      </c>
      <c r="Q94" s="111" t="s">
        <v>62</v>
      </c>
      <c r="R94" s="27">
        <v>5</v>
      </c>
      <c r="S94" s="26">
        <f>300/1.12</f>
        <v>267.85714285714283</v>
      </c>
      <c r="T94" s="26">
        <f t="shared" ref="T94" si="109">R94*S94</f>
        <v>1339.2857142857142</v>
      </c>
      <c r="U94" s="26">
        <f t="shared" ref="U94" si="110">T94*1.12</f>
        <v>1500</v>
      </c>
      <c r="V94" s="22" t="s">
        <v>30</v>
      </c>
      <c r="W94" s="22">
        <v>2015</v>
      </c>
      <c r="X94" s="22"/>
    </row>
    <row r="95" spans="1:24" s="21" customFormat="1" ht="74.25" customHeight="1" outlineLevel="1" x14ac:dyDescent="0.25">
      <c r="A95" s="22" t="s">
        <v>329</v>
      </c>
      <c r="B95" s="23" t="s">
        <v>70</v>
      </c>
      <c r="C95" s="111" t="s">
        <v>282</v>
      </c>
      <c r="D95" s="111" t="s">
        <v>280</v>
      </c>
      <c r="E95" s="111" t="s">
        <v>281</v>
      </c>
      <c r="F95" s="22"/>
      <c r="G95" s="22" t="s">
        <v>27</v>
      </c>
      <c r="H95" s="22">
        <v>0</v>
      </c>
      <c r="I95" s="22">
        <v>710000000</v>
      </c>
      <c r="J95" s="22" t="s">
        <v>71</v>
      </c>
      <c r="K95" s="22" t="s">
        <v>216</v>
      </c>
      <c r="L95" s="22" t="s">
        <v>217</v>
      </c>
      <c r="M95" s="22" t="s">
        <v>28</v>
      </c>
      <c r="N95" s="22" t="s">
        <v>78</v>
      </c>
      <c r="O95" s="24" t="s">
        <v>34</v>
      </c>
      <c r="P95" s="22">
        <v>796</v>
      </c>
      <c r="Q95" s="111" t="s">
        <v>62</v>
      </c>
      <c r="R95" s="27">
        <v>3</v>
      </c>
      <c r="S95" s="26">
        <v>500</v>
      </c>
      <c r="T95" s="26">
        <f t="shared" ref="T95" si="111">R95*S95</f>
        <v>1500</v>
      </c>
      <c r="U95" s="26">
        <f t="shared" ref="U95" si="112">T95*1.12</f>
        <v>1680.0000000000002</v>
      </c>
      <c r="V95" s="22" t="s">
        <v>30</v>
      </c>
      <c r="W95" s="22">
        <v>2015</v>
      </c>
      <c r="X95" s="22"/>
    </row>
    <row r="96" spans="1:24" s="21" customFormat="1" ht="74.25" customHeight="1" outlineLevel="1" x14ac:dyDescent="0.25">
      <c r="A96" s="22" t="s">
        <v>330</v>
      </c>
      <c r="B96" s="23" t="s">
        <v>70</v>
      </c>
      <c r="C96" s="112" t="s">
        <v>284</v>
      </c>
      <c r="D96" s="111" t="s">
        <v>283</v>
      </c>
      <c r="E96" s="111" t="s">
        <v>283</v>
      </c>
      <c r="F96" s="22"/>
      <c r="G96" s="22" t="s">
        <v>27</v>
      </c>
      <c r="H96" s="22">
        <v>0</v>
      </c>
      <c r="I96" s="22">
        <v>710000000</v>
      </c>
      <c r="J96" s="22" t="s">
        <v>71</v>
      </c>
      <c r="K96" s="22" t="s">
        <v>216</v>
      </c>
      <c r="L96" s="22" t="s">
        <v>217</v>
      </c>
      <c r="M96" s="22" t="s">
        <v>28</v>
      </c>
      <c r="N96" s="22" t="s">
        <v>78</v>
      </c>
      <c r="O96" s="24" t="s">
        <v>34</v>
      </c>
      <c r="P96" s="22">
        <v>796</v>
      </c>
      <c r="Q96" s="111" t="s">
        <v>62</v>
      </c>
      <c r="R96" s="27">
        <v>6</v>
      </c>
      <c r="S96" s="26">
        <f>460/1.12</f>
        <v>410.71428571428567</v>
      </c>
      <c r="T96" s="26">
        <f t="shared" ref="T96" si="113">R96*S96</f>
        <v>2464.2857142857138</v>
      </c>
      <c r="U96" s="26">
        <f t="shared" ref="U96" si="114">T96*1.12</f>
        <v>2759.9999999999995</v>
      </c>
      <c r="V96" s="22" t="s">
        <v>30</v>
      </c>
      <c r="W96" s="22">
        <v>2015</v>
      </c>
      <c r="X96" s="22"/>
    </row>
    <row r="97" spans="1:24" s="21" customFormat="1" ht="142.5" customHeight="1" outlineLevel="1" x14ac:dyDescent="0.25">
      <c r="A97" s="22" t="s">
        <v>331</v>
      </c>
      <c r="B97" s="23" t="s">
        <v>70</v>
      </c>
      <c r="C97" s="112" t="s">
        <v>287</v>
      </c>
      <c r="D97" s="111" t="s">
        <v>285</v>
      </c>
      <c r="E97" s="111" t="s">
        <v>286</v>
      </c>
      <c r="F97" s="22"/>
      <c r="G97" s="22" t="s">
        <v>27</v>
      </c>
      <c r="H97" s="22">
        <v>0</v>
      </c>
      <c r="I97" s="22">
        <v>710000000</v>
      </c>
      <c r="J97" s="22" t="s">
        <v>71</v>
      </c>
      <c r="K97" s="22" t="s">
        <v>216</v>
      </c>
      <c r="L97" s="22" t="s">
        <v>217</v>
      </c>
      <c r="M97" s="22" t="s">
        <v>28</v>
      </c>
      <c r="N97" s="22" t="s">
        <v>78</v>
      </c>
      <c r="O97" s="24" t="s">
        <v>34</v>
      </c>
      <c r="P97" s="22">
        <v>796</v>
      </c>
      <c r="Q97" s="111" t="s">
        <v>62</v>
      </c>
      <c r="R97" s="27">
        <v>2</v>
      </c>
      <c r="S97" s="26">
        <f>1920/1.12</f>
        <v>1714.2857142857142</v>
      </c>
      <c r="T97" s="26">
        <f t="shared" ref="T97" si="115">R97*S97</f>
        <v>3428.5714285714284</v>
      </c>
      <c r="U97" s="26">
        <f t="shared" ref="U97" si="116">T97*1.12</f>
        <v>3840</v>
      </c>
      <c r="V97" s="22" t="s">
        <v>30</v>
      </c>
      <c r="W97" s="22">
        <v>2015</v>
      </c>
      <c r="X97" s="22"/>
    </row>
    <row r="98" spans="1:24" s="21" customFormat="1" ht="74.25" customHeight="1" outlineLevel="1" x14ac:dyDescent="0.25">
      <c r="A98" s="22" t="s">
        <v>332</v>
      </c>
      <c r="B98" s="23" t="s">
        <v>70</v>
      </c>
      <c r="C98" s="112" t="s">
        <v>290</v>
      </c>
      <c r="D98" s="111" t="s">
        <v>288</v>
      </c>
      <c r="E98" s="111" t="s">
        <v>289</v>
      </c>
      <c r="F98" s="22"/>
      <c r="G98" s="22" t="s">
        <v>27</v>
      </c>
      <c r="H98" s="22">
        <v>0</v>
      </c>
      <c r="I98" s="22">
        <v>710000000</v>
      </c>
      <c r="J98" s="22" t="s">
        <v>71</v>
      </c>
      <c r="K98" s="22" t="s">
        <v>216</v>
      </c>
      <c r="L98" s="22" t="s">
        <v>217</v>
      </c>
      <c r="M98" s="22" t="s">
        <v>28</v>
      </c>
      <c r="N98" s="22" t="s">
        <v>78</v>
      </c>
      <c r="O98" s="24" t="s">
        <v>34</v>
      </c>
      <c r="P98" s="22">
        <v>796</v>
      </c>
      <c r="Q98" s="111" t="s">
        <v>62</v>
      </c>
      <c r="R98" s="27">
        <v>10</v>
      </c>
      <c r="S98" s="26">
        <v>500</v>
      </c>
      <c r="T98" s="26">
        <f t="shared" ref="T98" si="117">R98*S98</f>
        <v>5000</v>
      </c>
      <c r="U98" s="26">
        <f t="shared" ref="U98" si="118">T98*1.12</f>
        <v>5600.0000000000009</v>
      </c>
      <c r="V98" s="22" t="s">
        <v>30</v>
      </c>
      <c r="W98" s="22">
        <v>2015</v>
      </c>
      <c r="X98" s="22"/>
    </row>
    <row r="99" spans="1:24" s="21" customFormat="1" ht="74.25" customHeight="1" outlineLevel="1" x14ac:dyDescent="0.25">
      <c r="A99" s="22" t="s">
        <v>333</v>
      </c>
      <c r="B99" s="23" t="s">
        <v>70</v>
      </c>
      <c r="C99" s="112" t="s">
        <v>292</v>
      </c>
      <c r="D99" s="111" t="s">
        <v>221</v>
      </c>
      <c r="E99" s="111" t="s">
        <v>291</v>
      </c>
      <c r="F99" s="22"/>
      <c r="G99" s="22" t="s">
        <v>27</v>
      </c>
      <c r="H99" s="22">
        <v>0</v>
      </c>
      <c r="I99" s="22">
        <v>710000000</v>
      </c>
      <c r="J99" s="22" t="s">
        <v>71</v>
      </c>
      <c r="K99" s="22" t="s">
        <v>216</v>
      </c>
      <c r="L99" s="22" t="s">
        <v>217</v>
      </c>
      <c r="M99" s="22" t="s">
        <v>28</v>
      </c>
      <c r="N99" s="22" t="s">
        <v>78</v>
      </c>
      <c r="O99" s="24" t="s">
        <v>34</v>
      </c>
      <c r="P99" s="22">
        <v>796</v>
      </c>
      <c r="Q99" s="111" t="s">
        <v>62</v>
      </c>
      <c r="R99" s="27">
        <v>10</v>
      </c>
      <c r="S99" s="26">
        <f>350/1.12</f>
        <v>312.49999999999994</v>
      </c>
      <c r="T99" s="26">
        <f t="shared" ref="T99" si="119">R99*S99</f>
        <v>3124.9999999999995</v>
      </c>
      <c r="U99" s="26">
        <f t="shared" ref="U99" si="120">T99*1.12</f>
        <v>3500</v>
      </c>
      <c r="V99" s="22" t="s">
        <v>30</v>
      </c>
      <c r="W99" s="22">
        <v>2015</v>
      </c>
      <c r="X99" s="22"/>
    </row>
    <row r="100" spans="1:24" s="21" customFormat="1" ht="86.25" customHeight="1" outlineLevel="1" x14ac:dyDescent="0.25">
      <c r="A100" s="22" t="s">
        <v>334</v>
      </c>
      <c r="B100" s="23" t="s">
        <v>70</v>
      </c>
      <c r="C100" s="112" t="s">
        <v>521</v>
      </c>
      <c r="D100" s="111" t="s">
        <v>519</v>
      </c>
      <c r="E100" s="111" t="s">
        <v>520</v>
      </c>
      <c r="F100" s="22"/>
      <c r="G100" s="22" t="s">
        <v>27</v>
      </c>
      <c r="H100" s="22">
        <v>0</v>
      </c>
      <c r="I100" s="22">
        <v>710000000</v>
      </c>
      <c r="J100" s="22" t="s">
        <v>71</v>
      </c>
      <c r="K100" s="22" t="s">
        <v>216</v>
      </c>
      <c r="L100" s="22" t="s">
        <v>217</v>
      </c>
      <c r="M100" s="22" t="s">
        <v>28</v>
      </c>
      <c r="N100" s="22" t="s">
        <v>78</v>
      </c>
      <c r="O100" s="24" t="s">
        <v>34</v>
      </c>
      <c r="P100" s="22">
        <v>889</v>
      </c>
      <c r="Q100" s="111" t="s">
        <v>522</v>
      </c>
      <c r="R100" s="27">
        <v>1</v>
      </c>
      <c r="S100" s="26">
        <v>1000</v>
      </c>
      <c r="T100" s="26">
        <f t="shared" ref="T100" si="121">R100*S100</f>
        <v>1000</v>
      </c>
      <c r="U100" s="26">
        <f t="shared" ref="U100" si="122">T100*1.12</f>
        <v>1120</v>
      </c>
      <c r="V100" s="22" t="s">
        <v>30</v>
      </c>
      <c r="W100" s="22">
        <v>2015</v>
      </c>
      <c r="X100" s="22"/>
    </row>
    <row r="101" spans="1:24" s="21" customFormat="1" ht="74.25" customHeight="1" outlineLevel="1" x14ac:dyDescent="0.25">
      <c r="A101" s="22" t="s">
        <v>335</v>
      </c>
      <c r="B101" s="23" t="s">
        <v>70</v>
      </c>
      <c r="C101" s="111" t="s">
        <v>294</v>
      </c>
      <c r="D101" s="111" t="s">
        <v>293</v>
      </c>
      <c r="E101" s="111" t="s">
        <v>293</v>
      </c>
      <c r="F101" s="22"/>
      <c r="G101" s="22" t="s">
        <v>27</v>
      </c>
      <c r="H101" s="22">
        <v>0</v>
      </c>
      <c r="I101" s="22">
        <v>710000000</v>
      </c>
      <c r="J101" s="22" t="s">
        <v>71</v>
      </c>
      <c r="K101" s="22" t="s">
        <v>216</v>
      </c>
      <c r="L101" s="22" t="s">
        <v>217</v>
      </c>
      <c r="M101" s="22" t="s">
        <v>28</v>
      </c>
      <c r="N101" s="22" t="s">
        <v>78</v>
      </c>
      <c r="O101" s="24" t="s">
        <v>34</v>
      </c>
      <c r="P101" s="22">
        <v>796</v>
      </c>
      <c r="Q101" s="111" t="s">
        <v>62</v>
      </c>
      <c r="R101" s="27">
        <v>5</v>
      </c>
      <c r="S101" s="26">
        <v>1000</v>
      </c>
      <c r="T101" s="26">
        <f t="shared" ref="T101" si="123">R101*S101</f>
        <v>5000</v>
      </c>
      <c r="U101" s="26">
        <f t="shared" ref="U101" si="124">T101*1.12</f>
        <v>5600.0000000000009</v>
      </c>
      <c r="V101" s="22" t="s">
        <v>30</v>
      </c>
      <c r="W101" s="22">
        <v>2015</v>
      </c>
      <c r="X101" s="22"/>
    </row>
    <row r="102" spans="1:24" s="21" customFormat="1" ht="74.25" customHeight="1" outlineLevel="1" x14ac:dyDescent="0.25">
      <c r="A102" s="22" t="s">
        <v>336</v>
      </c>
      <c r="B102" s="23" t="s">
        <v>70</v>
      </c>
      <c r="C102" s="112" t="s">
        <v>436</v>
      </c>
      <c r="D102" s="111" t="s">
        <v>434</v>
      </c>
      <c r="E102" s="111" t="s">
        <v>435</v>
      </c>
      <c r="F102" s="22"/>
      <c r="G102" s="22" t="s">
        <v>27</v>
      </c>
      <c r="H102" s="22">
        <v>0</v>
      </c>
      <c r="I102" s="22">
        <v>710000000</v>
      </c>
      <c r="J102" s="22" t="s">
        <v>71</v>
      </c>
      <c r="K102" s="22" t="s">
        <v>216</v>
      </c>
      <c r="L102" s="22" t="s">
        <v>399</v>
      </c>
      <c r="M102" s="22" t="s">
        <v>28</v>
      </c>
      <c r="N102" s="22" t="s">
        <v>78</v>
      </c>
      <c r="O102" s="24" t="s">
        <v>34</v>
      </c>
      <c r="P102" s="22">
        <v>736</v>
      </c>
      <c r="Q102" s="111" t="s">
        <v>437</v>
      </c>
      <c r="R102" s="27">
        <v>30</v>
      </c>
      <c r="S102" s="26">
        <v>150</v>
      </c>
      <c r="T102" s="26">
        <f t="shared" ref="T102" si="125">R102*S102</f>
        <v>4500</v>
      </c>
      <c r="U102" s="26">
        <f t="shared" ref="U102" si="126">T102*1.12</f>
        <v>5040.0000000000009</v>
      </c>
      <c r="V102" s="22" t="s">
        <v>30</v>
      </c>
      <c r="W102" s="22">
        <v>2015</v>
      </c>
      <c r="X102" s="22"/>
    </row>
    <row r="103" spans="1:24" s="21" customFormat="1" ht="74.25" customHeight="1" outlineLevel="1" x14ac:dyDescent="0.25">
      <c r="A103" s="22" t="s">
        <v>337</v>
      </c>
      <c r="B103" s="23" t="s">
        <v>70</v>
      </c>
      <c r="C103" s="112" t="s">
        <v>297</v>
      </c>
      <c r="D103" s="123" t="s">
        <v>295</v>
      </c>
      <c r="E103" s="111" t="s">
        <v>296</v>
      </c>
      <c r="F103" s="22"/>
      <c r="G103" s="22" t="s">
        <v>27</v>
      </c>
      <c r="H103" s="22">
        <v>0</v>
      </c>
      <c r="I103" s="22">
        <v>710000000</v>
      </c>
      <c r="J103" s="22" t="s">
        <v>71</v>
      </c>
      <c r="K103" s="22" t="s">
        <v>298</v>
      </c>
      <c r="L103" s="22" t="s">
        <v>399</v>
      </c>
      <c r="M103" s="22" t="s">
        <v>28</v>
      </c>
      <c r="N103" s="22" t="s">
        <v>78</v>
      </c>
      <c r="O103" s="24" t="s">
        <v>34</v>
      </c>
      <c r="P103" s="22">
        <v>796</v>
      </c>
      <c r="Q103" s="111" t="s">
        <v>62</v>
      </c>
      <c r="R103" s="27">
        <v>2</v>
      </c>
      <c r="S103" s="26">
        <f>7990/1.12</f>
        <v>7133.9285714285706</v>
      </c>
      <c r="T103" s="26">
        <f t="shared" ref="T103" si="127">R103*S103</f>
        <v>14267.857142857141</v>
      </c>
      <c r="U103" s="26">
        <f t="shared" ref="U103" si="128">T103*1.12</f>
        <v>15980</v>
      </c>
      <c r="V103" s="22" t="s">
        <v>30</v>
      </c>
      <c r="W103" s="22">
        <v>2015</v>
      </c>
      <c r="X103" s="22"/>
    </row>
    <row r="104" spans="1:24" s="21" customFormat="1" ht="74.25" customHeight="1" outlineLevel="1" x14ac:dyDescent="0.25">
      <c r="A104" s="22" t="s">
        <v>338</v>
      </c>
      <c r="B104" s="23" t="s">
        <v>70</v>
      </c>
      <c r="C104" s="112" t="s">
        <v>301</v>
      </c>
      <c r="D104" s="123" t="s">
        <v>299</v>
      </c>
      <c r="E104" s="111" t="s">
        <v>300</v>
      </c>
      <c r="F104" s="22"/>
      <c r="G104" s="22" t="s">
        <v>27</v>
      </c>
      <c r="H104" s="22">
        <v>0</v>
      </c>
      <c r="I104" s="22">
        <v>710000000</v>
      </c>
      <c r="J104" s="22" t="s">
        <v>71</v>
      </c>
      <c r="K104" s="22" t="s">
        <v>302</v>
      </c>
      <c r="L104" s="22" t="s">
        <v>399</v>
      </c>
      <c r="M104" s="22" t="s">
        <v>28</v>
      </c>
      <c r="N104" s="22" t="s">
        <v>78</v>
      </c>
      <c r="O104" s="24" t="s">
        <v>34</v>
      </c>
      <c r="P104" s="22">
        <v>796</v>
      </c>
      <c r="Q104" s="111" t="s">
        <v>62</v>
      </c>
      <c r="R104" s="27">
        <v>12</v>
      </c>
      <c r="S104" s="26">
        <v>5000</v>
      </c>
      <c r="T104" s="26">
        <f t="shared" ref="T104" si="129">R104*S104</f>
        <v>60000</v>
      </c>
      <c r="U104" s="26">
        <f t="shared" ref="U104" si="130">T104*1.12</f>
        <v>67200</v>
      </c>
      <c r="V104" s="22" t="s">
        <v>30</v>
      </c>
      <c r="W104" s="22">
        <v>2015</v>
      </c>
      <c r="X104" s="22"/>
    </row>
    <row r="105" spans="1:24" s="16" customFormat="1" ht="15.75" x14ac:dyDescent="0.25">
      <c r="A105" s="178" t="s">
        <v>47</v>
      </c>
      <c r="B105" s="178"/>
      <c r="C105" s="178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  <c r="O105" s="41"/>
      <c r="P105" s="39"/>
      <c r="Q105" s="39"/>
      <c r="R105" s="39"/>
      <c r="S105" s="39"/>
      <c r="T105" s="42">
        <f>SUM(T16:T104)</f>
        <v>12126207.178571431</v>
      </c>
      <c r="U105" s="42">
        <f>T105*1.12</f>
        <v>13581352.040000005</v>
      </c>
      <c r="V105" s="39"/>
      <c r="W105" s="39"/>
      <c r="X105" s="39"/>
    </row>
    <row r="106" spans="1:24" s="16" customFormat="1" ht="15.75" x14ac:dyDescent="0.25">
      <c r="A106" s="177" t="s">
        <v>42</v>
      </c>
      <c r="B106" s="177"/>
      <c r="C106" s="177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  <c r="O106" s="41"/>
      <c r="P106" s="39"/>
      <c r="Q106" s="39"/>
      <c r="R106" s="39"/>
      <c r="S106" s="26"/>
      <c r="T106" s="26"/>
      <c r="U106" s="26"/>
      <c r="V106" s="39"/>
      <c r="W106" s="39"/>
      <c r="X106" s="39"/>
    </row>
    <row r="107" spans="1:24" ht="87.75" customHeight="1" outlineLevel="1" x14ac:dyDescent="0.25">
      <c r="A107" s="22" t="s">
        <v>43</v>
      </c>
      <c r="B107" s="23" t="s">
        <v>70</v>
      </c>
      <c r="C107" s="112" t="s">
        <v>349</v>
      </c>
      <c r="D107" s="123" t="s">
        <v>347</v>
      </c>
      <c r="E107" s="111" t="s">
        <v>348</v>
      </c>
      <c r="F107" s="43"/>
      <c r="G107" s="22" t="s">
        <v>27</v>
      </c>
      <c r="H107" s="22">
        <v>50</v>
      </c>
      <c r="I107" s="22">
        <v>710000000</v>
      </c>
      <c r="J107" s="22" t="s">
        <v>71</v>
      </c>
      <c r="K107" s="22" t="s">
        <v>350</v>
      </c>
      <c r="L107" s="22" t="s">
        <v>76</v>
      </c>
      <c r="M107" s="22"/>
      <c r="N107" s="22" t="s">
        <v>78</v>
      </c>
      <c r="O107" s="44" t="s">
        <v>34</v>
      </c>
      <c r="P107" s="22"/>
      <c r="Q107" s="22"/>
      <c r="R107" s="22"/>
      <c r="S107" s="26"/>
      <c r="T107" s="26">
        <v>700000</v>
      </c>
      <c r="U107" s="26">
        <f>T107*1.12</f>
        <v>784000.00000000012</v>
      </c>
      <c r="V107" s="22" t="s">
        <v>46</v>
      </c>
      <c r="W107" s="22">
        <v>2015</v>
      </c>
      <c r="X107" s="22"/>
    </row>
    <row r="108" spans="1:24" s="21" customFormat="1" ht="87.75" customHeight="1" outlineLevel="1" x14ac:dyDescent="0.25">
      <c r="A108" s="22" t="s">
        <v>351</v>
      </c>
      <c r="B108" s="23" t="s">
        <v>70</v>
      </c>
      <c r="C108" s="112" t="s">
        <v>349</v>
      </c>
      <c r="D108" s="123" t="s">
        <v>347</v>
      </c>
      <c r="E108" s="111" t="s">
        <v>348</v>
      </c>
      <c r="F108" s="43"/>
      <c r="G108" s="22" t="s">
        <v>27</v>
      </c>
      <c r="H108" s="22">
        <v>50</v>
      </c>
      <c r="I108" s="22">
        <v>710000000</v>
      </c>
      <c r="J108" s="22" t="s">
        <v>71</v>
      </c>
      <c r="K108" s="22" t="s">
        <v>350</v>
      </c>
      <c r="L108" s="22" t="s">
        <v>149</v>
      </c>
      <c r="M108" s="22"/>
      <c r="N108" s="22" t="s">
        <v>78</v>
      </c>
      <c r="O108" s="44" t="s">
        <v>34</v>
      </c>
      <c r="P108" s="22"/>
      <c r="Q108" s="22"/>
      <c r="R108" s="22"/>
      <c r="S108" s="26"/>
      <c r="T108" s="26">
        <v>550000</v>
      </c>
      <c r="U108" s="26">
        <f>T108*1.12</f>
        <v>616000.00000000012</v>
      </c>
      <c r="V108" s="22" t="s">
        <v>46</v>
      </c>
      <c r="W108" s="22">
        <v>2015</v>
      </c>
      <c r="X108" s="22"/>
    </row>
    <row r="109" spans="1:24" s="16" customFormat="1" ht="15" customHeight="1" x14ac:dyDescent="0.25">
      <c r="A109" s="178" t="s">
        <v>48</v>
      </c>
      <c r="B109" s="178"/>
      <c r="C109" s="178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  <c r="O109" s="41"/>
      <c r="P109" s="39"/>
      <c r="Q109" s="39"/>
      <c r="R109" s="39"/>
      <c r="S109" s="39"/>
      <c r="T109" s="42">
        <f>SUM(T107:T108)</f>
        <v>1250000</v>
      </c>
      <c r="U109" s="42">
        <f>SUM(U107:U108)</f>
        <v>1400000.0000000002</v>
      </c>
      <c r="V109" s="39"/>
      <c r="W109" s="39"/>
      <c r="X109" s="39"/>
    </row>
    <row r="110" spans="1:24" s="16" customFormat="1" ht="15.75" x14ac:dyDescent="0.25">
      <c r="A110" s="177" t="s">
        <v>44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</row>
    <row r="111" spans="1:24" ht="84.75" customHeight="1" outlineLevel="1" x14ac:dyDescent="0.25">
      <c r="A111" s="22" t="s">
        <v>45</v>
      </c>
      <c r="B111" s="23" t="s">
        <v>70</v>
      </c>
      <c r="C111" s="112" t="s">
        <v>353</v>
      </c>
      <c r="D111" s="111" t="s">
        <v>352</v>
      </c>
      <c r="E111" s="111" t="s">
        <v>352</v>
      </c>
      <c r="F111" s="22"/>
      <c r="G111" s="22" t="s">
        <v>27</v>
      </c>
      <c r="H111" s="22">
        <v>100</v>
      </c>
      <c r="I111" s="22">
        <v>710000000</v>
      </c>
      <c r="J111" s="22" t="s">
        <v>71</v>
      </c>
      <c r="K111" s="22" t="s">
        <v>426</v>
      </c>
      <c r="L111" s="22" t="s">
        <v>399</v>
      </c>
      <c r="M111" s="22"/>
      <c r="N111" s="22" t="s">
        <v>77</v>
      </c>
      <c r="O111" s="46" t="s">
        <v>34</v>
      </c>
      <c r="P111" s="45"/>
      <c r="Q111" s="22"/>
      <c r="R111" s="22"/>
      <c r="S111" s="26"/>
      <c r="T111" s="26">
        <f>800000/1.12</f>
        <v>714285.7142857142</v>
      </c>
      <c r="U111" s="26">
        <f t="shared" ref="U111:U143" si="131">T111*1.12</f>
        <v>800000</v>
      </c>
      <c r="V111" s="22" t="s">
        <v>46</v>
      </c>
      <c r="W111" s="22">
        <v>2015</v>
      </c>
      <c r="X111" s="22"/>
    </row>
    <row r="112" spans="1:24" s="21" customFormat="1" ht="84.75" customHeight="1" outlineLevel="1" x14ac:dyDescent="0.25">
      <c r="A112" s="22" t="s">
        <v>451</v>
      </c>
      <c r="B112" s="23" t="s">
        <v>70</v>
      </c>
      <c r="C112" s="113" t="s">
        <v>364</v>
      </c>
      <c r="D112" s="114" t="s">
        <v>362</v>
      </c>
      <c r="E112" s="114" t="s">
        <v>363</v>
      </c>
      <c r="F112" s="22"/>
      <c r="G112" s="22" t="s">
        <v>27</v>
      </c>
      <c r="H112" s="22">
        <v>100</v>
      </c>
      <c r="I112" s="22">
        <v>710000000</v>
      </c>
      <c r="J112" s="22" t="s">
        <v>71</v>
      </c>
      <c r="K112" s="22" t="s">
        <v>426</v>
      </c>
      <c r="L112" s="22" t="s">
        <v>399</v>
      </c>
      <c r="M112" s="22"/>
      <c r="N112" s="22" t="s">
        <v>77</v>
      </c>
      <c r="O112" s="46" t="s">
        <v>34</v>
      </c>
      <c r="P112" s="45"/>
      <c r="Q112" s="22"/>
      <c r="R112" s="22"/>
      <c r="S112" s="26"/>
      <c r="T112" s="26">
        <f>100000*12</f>
        <v>1200000</v>
      </c>
      <c r="U112" s="26">
        <f t="shared" si="131"/>
        <v>1344000.0000000002</v>
      </c>
      <c r="V112" s="22" t="s">
        <v>46</v>
      </c>
      <c r="W112" s="22">
        <v>2015</v>
      </c>
      <c r="X112" s="22"/>
    </row>
    <row r="113" spans="1:24" s="21" customFormat="1" ht="198" customHeight="1" outlineLevel="1" x14ac:dyDescent="0.25">
      <c r="A113" s="22" t="s">
        <v>452</v>
      </c>
      <c r="B113" s="133" t="s">
        <v>70</v>
      </c>
      <c r="C113" s="115" t="s">
        <v>367</v>
      </c>
      <c r="D113" s="116" t="s">
        <v>366</v>
      </c>
      <c r="E113" s="116" t="s">
        <v>366</v>
      </c>
      <c r="F113" s="89" t="s">
        <v>516</v>
      </c>
      <c r="G113" s="89" t="s">
        <v>74</v>
      </c>
      <c r="H113" s="89">
        <v>100</v>
      </c>
      <c r="I113" s="89">
        <v>710000000</v>
      </c>
      <c r="J113" s="89" t="s">
        <v>71</v>
      </c>
      <c r="K113" s="89" t="s">
        <v>426</v>
      </c>
      <c r="L113" s="89" t="s">
        <v>399</v>
      </c>
      <c r="M113" s="89"/>
      <c r="N113" s="89" t="s">
        <v>77</v>
      </c>
      <c r="O113" s="134" t="s">
        <v>34</v>
      </c>
      <c r="P113" s="135"/>
      <c r="Q113" s="89"/>
      <c r="R113" s="89"/>
      <c r="S113" s="94"/>
      <c r="T113" s="94">
        <f>2379215+651785+500000</f>
        <v>3531000</v>
      </c>
      <c r="U113" s="94">
        <f t="shared" si="131"/>
        <v>3954720.0000000005</v>
      </c>
      <c r="V113" s="89" t="s">
        <v>46</v>
      </c>
      <c r="W113" s="89">
        <v>2015</v>
      </c>
      <c r="X113" s="89"/>
    </row>
    <row r="114" spans="1:24" s="95" customFormat="1" ht="84.75" customHeight="1" outlineLevel="1" x14ac:dyDescent="0.25">
      <c r="A114" s="22" t="s">
        <v>533</v>
      </c>
      <c r="B114" s="23" t="s">
        <v>70</v>
      </c>
      <c r="C114" s="112" t="s">
        <v>356</v>
      </c>
      <c r="D114" s="111" t="s">
        <v>355</v>
      </c>
      <c r="E114" s="111" t="s">
        <v>355</v>
      </c>
      <c r="F114" s="22"/>
      <c r="G114" s="22" t="s">
        <v>27</v>
      </c>
      <c r="H114" s="22">
        <v>100</v>
      </c>
      <c r="I114" s="22">
        <v>710000000</v>
      </c>
      <c r="J114" s="22" t="s">
        <v>71</v>
      </c>
      <c r="K114" s="22" t="s">
        <v>426</v>
      </c>
      <c r="L114" s="22" t="s">
        <v>399</v>
      </c>
      <c r="M114" s="22"/>
      <c r="N114" s="22" t="s">
        <v>357</v>
      </c>
      <c r="O114" s="46">
        <v>1</v>
      </c>
      <c r="P114" s="45"/>
      <c r="Q114" s="22"/>
      <c r="R114" s="22"/>
      <c r="S114" s="26"/>
      <c r="T114" s="26">
        <f>74.4*2685*12</f>
        <v>2397168.0000000005</v>
      </c>
      <c r="U114" s="26">
        <f t="shared" si="131"/>
        <v>2684828.1600000006</v>
      </c>
      <c r="V114" s="22" t="s">
        <v>46</v>
      </c>
      <c r="W114" s="22">
        <v>2015</v>
      </c>
      <c r="X114" s="22"/>
    </row>
    <row r="115" spans="1:24" s="117" customFormat="1" ht="84.75" customHeight="1" outlineLevel="1" x14ac:dyDescent="0.25">
      <c r="A115" s="22" t="s">
        <v>453</v>
      </c>
      <c r="B115" s="156" t="s">
        <v>70</v>
      </c>
      <c r="C115" s="157" t="s">
        <v>442</v>
      </c>
      <c r="D115" s="137" t="s">
        <v>441</v>
      </c>
      <c r="E115" s="158" t="s">
        <v>441</v>
      </c>
      <c r="F115" s="118"/>
      <c r="G115" s="136" t="s">
        <v>27</v>
      </c>
      <c r="H115" s="136">
        <v>100</v>
      </c>
      <c r="I115" s="136">
        <v>710000000</v>
      </c>
      <c r="J115" s="136" t="s">
        <v>71</v>
      </c>
      <c r="K115" s="136" t="s">
        <v>426</v>
      </c>
      <c r="L115" s="136" t="s">
        <v>399</v>
      </c>
      <c r="M115" s="159"/>
      <c r="N115" s="159" t="s">
        <v>357</v>
      </c>
      <c r="O115" s="138">
        <v>1</v>
      </c>
      <c r="P115" s="160"/>
      <c r="Q115" s="159"/>
      <c r="R115" s="159"/>
      <c r="S115" s="161"/>
      <c r="T115" s="139">
        <v>60000</v>
      </c>
      <c r="U115" s="139">
        <f t="shared" ref="U115" si="132">T115*1.12</f>
        <v>67200</v>
      </c>
      <c r="V115" s="136" t="s">
        <v>46</v>
      </c>
      <c r="W115" s="136">
        <v>2015</v>
      </c>
      <c r="X115" s="136"/>
    </row>
    <row r="116" spans="1:24" s="21" customFormat="1" ht="84.75" customHeight="1" outlineLevel="1" x14ac:dyDescent="0.25">
      <c r="A116" s="22" t="s">
        <v>454</v>
      </c>
      <c r="B116" s="23" t="s">
        <v>70</v>
      </c>
      <c r="C116" s="112" t="s">
        <v>356</v>
      </c>
      <c r="D116" s="111" t="s">
        <v>355</v>
      </c>
      <c r="E116" s="111" t="s">
        <v>355</v>
      </c>
      <c r="F116" s="119"/>
      <c r="G116" s="22" t="s">
        <v>27</v>
      </c>
      <c r="H116" s="22">
        <v>100</v>
      </c>
      <c r="I116" s="22">
        <v>710000000</v>
      </c>
      <c r="J116" s="22" t="s">
        <v>71</v>
      </c>
      <c r="K116" s="22" t="s">
        <v>426</v>
      </c>
      <c r="L116" s="22" t="s">
        <v>400</v>
      </c>
      <c r="M116" s="22"/>
      <c r="N116" s="22" t="s">
        <v>357</v>
      </c>
      <c r="O116" s="46">
        <v>1</v>
      </c>
      <c r="P116" s="45"/>
      <c r="Q116" s="22"/>
      <c r="R116" s="22"/>
      <c r="S116" s="26"/>
      <c r="T116" s="26">
        <f>4032/1.12*12</f>
        <v>43199.999999999993</v>
      </c>
      <c r="U116" s="26">
        <f t="shared" si="131"/>
        <v>48384</v>
      </c>
      <c r="V116" s="22" t="s">
        <v>46</v>
      </c>
      <c r="W116" s="22">
        <v>2015</v>
      </c>
      <c r="X116" s="22"/>
    </row>
    <row r="117" spans="1:24" s="21" customFormat="1" ht="84.75" customHeight="1" outlineLevel="1" x14ac:dyDescent="0.25">
      <c r="A117" s="22" t="s">
        <v>455</v>
      </c>
      <c r="B117" s="23" t="s">
        <v>70</v>
      </c>
      <c r="C117" s="112" t="s">
        <v>356</v>
      </c>
      <c r="D117" s="111" t="s">
        <v>355</v>
      </c>
      <c r="E117" s="111" t="s">
        <v>355</v>
      </c>
      <c r="F117" s="22"/>
      <c r="G117" s="22" t="s">
        <v>27</v>
      </c>
      <c r="H117" s="22">
        <v>100</v>
      </c>
      <c r="I117" s="22">
        <v>710000000</v>
      </c>
      <c r="J117" s="22" t="s">
        <v>71</v>
      </c>
      <c r="K117" s="22" t="s">
        <v>426</v>
      </c>
      <c r="L117" s="22" t="s">
        <v>401</v>
      </c>
      <c r="M117" s="22"/>
      <c r="N117" s="22" t="s">
        <v>357</v>
      </c>
      <c r="O117" s="46">
        <v>1</v>
      </c>
      <c r="P117" s="45"/>
      <c r="Q117" s="22"/>
      <c r="R117" s="22"/>
      <c r="S117" s="26"/>
      <c r="T117" s="26">
        <v>23186</v>
      </c>
      <c r="U117" s="26">
        <f t="shared" si="131"/>
        <v>25968.320000000003</v>
      </c>
      <c r="V117" s="22" t="s">
        <v>46</v>
      </c>
      <c r="W117" s="22">
        <v>2015</v>
      </c>
      <c r="X117" s="22"/>
    </row>
    <row r="118" spans="1:24" s="21" customFormat="1" ht="84.75" customHeight="1" outlineLevel="1" x14ac:dyDescent="0.25">
      <c r="A118" s="22" t="s">
        <v>456</v>
      </c>
      <c r="B118" s="23" t="s">
        <v>70</v>
      </c>
      <c r="C118" s="112" t="s">
        <v>370</v>
      </c>
      <c r="D118" s="114" t="s">
        <v>369</v>
      </c>
      <c r="E118" s="114" t="s">
        <v>369</v>
      </c>
      <c r="F118" s="22"/>
      <c r="G118" s="22" t="s">
        <v>27</v>
      </c>
      <c r="H118" s="22">
        <v>100</v>
      </c>
      <c r="I118" s="22">
        <v>710000000</v>
      </c>
      <c r="J118" s="22" t="s">
        <v>71</v>
      </c>
      <c r="K118" s="22" t="s">
        <v>426</v>
      </c>
      <c r="L118" s="22" t="s">
        <v>401</v>
      </c>
      <c r="M118" s="22"/>
      <c r="N118" s="22" t="s">
        <v>357</v>
      </c>
      <c r="O118" s="46">
        <v>1</v>
      </c>
      <c r="P118" s="45"/>
      <c r="Q118" s="22"/>
      <c r="R118" s="22"/>
      <c r="S118" s="26"/>
      <c r="T118" s="26">
        <f>8131/1.12*12</f>
        <v>87117.85714285713</v>
      </c>
      <c r="U118" s="26">
        <f t="shared" si="131"/>
        <v>97572</v>
      </c>
      <c r="V118" s="22" t="s">
        <v>46</v>
      </c>
      <c r="W118" s="22">
        <v>2015</v>
      </c>
      <c r="X118" s="22"/>
    </row>
    <row r="119" spans="1:24" s="21" customFormat="1" ht="84.75" customHeight="1" outlineLevel="1" x14ac:dyDescent="0.25">
      <c r="A119" s="22" t="s">
        <v>457</v>
      </c>
      <c r="B119" s="23" t="s">
        <v>70</v>
      </c>
      <c r="C119" s="112" t="s">
        <v>370</v>
      </c>
      <c r="D119" s="114" t="s">
        <v>369</v>
      </c>
      <c r="E119" s="114" t="s">
        <v>369</v>
      </c>
      <c r="F119" s="22" t="s">
        <v>392</v>
      </c>
      <c r="G119" s="22" t="s">
        <v>27</v>
      </c>
      <c r="H119" s="22">
        <v>100</v>
      </c>
      <c r="I119" s="22">
        <v>710000000</v>
      </c>
      <c r="J119" s="22" t="s">
        <v>71</v>
      </c>
      <c r="K119" s="22" t="s">
        <v>426</v>
      </c>
      <c r="L119" s="22" t="s">
        <v>401</v>
      </c>
      <c r="M119" s="22"/>
      <c r="N119" s="22" t="s">
        <v>357</v>
      </c>
      <c r="O119" s="46">
        <v>1</v>
      </c>
      <c r="P119" s="45"/>
      <c r="Q119" s="22"/>
      <c r="R119" s="22"/>
      <c r="S119" s="26"/>
      <c r="T119" s="26">
        <f>13440/1.12*12</f>
        <v>143999.99999999997</v>
      </c>
      <c r="U119" s="26">
        <f t="shared" si="131"/>
        <v>161279.99999999997</v>
      </c>
      <c r="V119" s="22" t="s">
        <v>46</v>
      </c>
      <c r="W119" s="22">
        <v>2015</v>
      </c>
      <c r="X119" s="22"/>
    </row>
    <row r="120" spans="1:24" s="21" customFormat="1" ht="84.75" customHeight="1" outlineLevel="1" x14ac:dyDescent="0.25">
      <c r="A120" s="22" t="s">
        <v>458</v>
      </c>
      <c r="B120" s="23" t="s">
        <v>70</v>
      </c>
      <c r="C120" s="112" t="s">
        <v>356</v>
      </c>
      <c r="D120" s="111" t="s">
        <v>355</v>
      </c>
      <c r="E120" s="111" t="s">
        <v>355</v>
      </c>
      <c r="F120" s="22"/>
      <c r="G120" s="22" t="s">
        <v>27</v>
      </c>
      <c r="H120" s="22">
        <v>100</v>
      </c>
      <c r="I120" s="22">
        <v>710000000</v>
      </c>
      <c r="J120" s="22" t="s">
        <v>71</v>
      </c>
      <c r="K120" s="22" t="s">
        <v>426</v>
      </c>
      <c r="L120" s="22" t="s">
        <v>402</v>
      </c>
      <c r="M120" s="22"/>
      <c r="N120" s="22" t="s">
        <v>357</v>
      </c>
      <c r="O120" s="46">
        <v>1</v>
      </c>
      <c r="P120" s="45"/>
      <c r="Q120" s="22"/>
      <c r="R120" s="22"/>
      <c r="S120" s="26"/>
      <c r="T120" s="26">
        <f>3528/1.12*12</f>
        <v>37799.999999999993</v>
      </c>
      <c r="U120" s="26">
        <f t="shared" si="131"/>
        <v>42335.999999999993</v>
      </c>
      <c r="V120" s="22" t="s">
        <v>46</v>
      </c>
      <c r="W120" s="22">
        <v>2015</v>
      </c>
      <c r="X120" s="22"/>
    </row>
    <row r="121" spans="1:24" s="21" customFormat="1" ht="84.75" customHeight="1" outlineLevel="1" x14ac:dyDescent="0.25">
      <c r="A121" s="22" t="s">
        <v>459</v>
      </c>
      <c r="B121" s="23" t="s">
        <v>70</v>
      </c>
      <c r="C121" s="112" t="s">
        <v>356</v>
      </c>
      <c r="D121" s="111" t="s">
        <v>355</v>
      </c>
      <c r="E121" s="111" t="s">
        <v>355</v>
      </c>
      <c r="F121" s="22"/>
      <c r="G121" s="22" t="s">
        <v>27</v>
      </c>
      <c r="H121" s="22">
        <v>100</v>
      </c>
      <c r="I121" s="22">
        <v>710000000</v>
      </c>
      <c r="J121" s="22" t="s">
        <v>71</v>
      </c>
      <c r="K121" s="22" t="s">
        <v>426</v>
      </c>
      <c r="L121" s="22" t="s">
        <v>358</v>
      </c>
      <c r="M121" s="22"/>
      <c r="N121" s="22" t="s">
        <v>357</v>
      </c>
      <c r="O121" s="46">
        <v>1</v>
      </c>
      <c r="P121" s="45"/>
      <c r="Q121" s="22"/>
      <c r="R121" s="22"/>
      <c r="S121" s="26"/>
      <c r="T121" s="26">
        <f>2016/1.12*12</f>
        <v>21599.999999999996</v>
      </c>
      <c r="U121" s="26">
        <f t="shared" si="131"/>
        <v>24192</v>
      </c>
      <c r="V121" s="22" t="s">
        <v>46</v>
      </c>
      <c r="W121" s="22">
        <v>2015</v>
      </c>
      <c r="X121" s="22"/>
    </row>
    <row r="122" spans="1:24" s="21" customFormat="1" ht="84.75" customHeight="1" outlineLevel="1" x14ac:dyDescent="0.25">
      <c r="A122" s="22" t="s">
        <v>460</v>
      </c>
      <c r="B122" s="23" t="s">
        <v>70</v>
      </c>
      <c r="C122" s="112" t="s">
        <v>361</v>
      </c>
      <c r="D122" s="114" t="s">
        <v>359</v>
      </c>
      <c r="E122" s="111" t="s">
        <v>360</v>
      </c>
      <c r="F122" s="22"/>
      <c r="G122" s="22" t="s">
        <v>27</v>
      </c>
      <c r="H122" s="22">
        <v>100</v>
      </c>
      <c r="I122" s="22">
        <v>710000000</v>
      </c>
      <c r="J122" s="22" t="s">
        <v>71</v>
      </c>
      <c r="K122" s="22" t="s">
        <v>426</v>
      </c>
      <c r="L122" s="22" t="s">
        <v>399</v>
      </c>
      <c r="M122" s="22"/>
      <c r="N122" s="22" t="s">
        <v>77</v>
      </c>
      <c r="O122" s="46" t="s">
        <v>34</v>
      </c>
      <c r="P122" s="45"/>
      <c r="Q122" s="22"/>
      <c r="R122" s="22"/>
      <c r="S122" s="26"/>
      <c r="T122" s="26">
        <f>23000+950*12+20000*12</f>
        <v>274400</v>
      </c>
      <c r="U122" s="26">
        <f t="shared" si="131"/>
        <v>307328.00000000006</v>
      </c>
      <c r="V122" s="22" t="s">
        <v>46</v>
      </c>
      <c r="W122" s="22">
        <v>2015</v>
      </c>
      <c r="X122" s="22"/>
    </row>
    <row r="123" spans="1:24" s="21" customFormat="1" ht="84.75" customHeight="1" outlineLevel="1" x14ac:dyDescent="0.25">
      <c r="A123" s="22" t="s">
        <v>461</v>
      </c>
      <c r="B123" s="133" t="s">
        <v>70</v>
      </c>
      <c r="C123" s="142" t="s">
        <v>361</v>
      </c>
      <c r="D123" s="116" t="s">
        <v>359</v>
      </c>
      <c r="E123" s="143" t="s">
        <v>360</v>
      </c>
      <c r="F123" s="89"/>
      <c r="G123" s="89" t="s">
        <v>27</v>
      </c>
      <c r="H123" s="89">
        <v>100</v>
      </c>
      <c r="I123" s="89">
        <v>710000000</v>
      </c>
      <c r="J123" s="89" t="s">
        <v>71</v>
      </c>
      <c r="K123" s="89" t="s">
        <v>443</v>
      </c>
      <c r="L123" s="89" t="s">
        <v>401</v>
      </c>
      <c r="M123" s="89"/>
      <c r="N123" s="89" t="s">
        <v>77</v>
      </c>
      <c r="O123" s="134" t="s">
        <v>34</v>
      </c>
      <c r="P123" s="135"/>
      <c r="Q123" s="89"/>
      <c r="R123" s="89"/>
      <c r="S123" s="94"/>
      <c r="T123" s="94">
        <f>5000*12+950*12</f>
        <v>71400</v>
      </c>
      <c r="U123" s="94">
        <f t="shared" si="131"/>
        <v>79968.000000000015</v>
      </c>
      <c r="V123" s="89" t="s">
        <v>46</v>
      </c>
      <c r="W123" s="89">
        <v>2015</v>
      </c>
      <c r="X123" s="89"/>
    </row>
    <row r="124" spans="1:24" s="129" customFormat="1" ht="84.75" customHeight="1" outlineLevel="1" x14ac:dyDescent="0.25">
      <c r="A124" s="22" t="s">
        <v>462</v>
      </c>
      <c r="B124" s="130" t="s">
        <v>70</v>
      </c>
      <c r="C124" s="140" t="s">
        <v>523</v>
      </c>
      <c r="D124" s="123" t="s">
        <v>524</v>
      </c>
      <c r="E124" s="123" t="s">
        <v>525</v>
      </c>
      <c r="G124" s="129" t="s">
        <v>27</v>
      </c>
      <c r="H124" s="129">
        <v>100</v>
      </c>
      <c r="I124" s="129">
        <v>710000000</v>
      </c>
      <c r="J124" s="129" t="s">
        <v>71</v>
      </c>
      <c r="K124" s="129" t="s">
        <v>72</v>
      </c>
      <c r="L124" s="129" t="s">
        <v>399</v>
      </c>
      <c r="N124" s="129" t="s">
        <v>77</v>
      </c>
      <c r="O124" s="131" t="s">
        <v>34</v>
      </c>
      <c r="P124" s="132"/>
      <c r="S124" s="59"/>
      <c r="T124" s="59">
        <f>14725*12+10000</f>
        <v>186700</v>
      </c>
      <c r="U124" s="59">
        <f t="shared" si="131"/>
        <v>209104.00000000003</v>
      </c>
      <c r="V124" s="129" t="s">
        <v>46</v>
      </c>
      <c r="W124" s="129">
        <v>2015</v>
      </c>
    </row>
    <row r="125" spans="1:24" s="162" customFormat="1" ht="84.75" customHeight="1" outlineLevel="1" x14ac:dyDescent="0.25">
      <c r="A125" s="22" t="s">
        <v>463</v>
      </c>
      <c r="B125" s="163" t="s">
        <v>70</v>
      </c>
      <c r="C125" s="164" t="s">
        <v>375</v>
      </c>
      <c r="D125" s="144" t="s">
        <v>373</v>
      </c>
      <c r="E125" s="144" t="s">
        <v>374</v>
      </c>
      <c r="F125" s="165"/>
      <c r="G125" s="165" t="s">
        <v>27</v>
      </c>
      <c r="H125" s="165">
        <v>100</v>
      </c>
      <c r="I125" s="165">
        <v>710000000</v>
      </c>
      <c r="J125" s="165" t="s">
        <v>71</v>
      </c>
      <c r="K125" s="165" t="s">
        <v>72</v>
      </c>
      <c r="L125" s="165" t="s">
        <v>399</v>
      </c>
      <c r="M125" s="165"/>
      <c r="N125" s="165" t="s">
        <v>77</v>
      </c>
      <c r="O125" s="166" t="s">
        <v>34</v>
      </c>
      <c r="P125" s="167"/>
      <c r="Q125" s="165"/>
      <c r="R125" s="165"/>
      <c r="S125" s="168"/>
      <c r="T125" s="168">
        <v>95000</v>
      </c>
      <c r="U125" s="168">
        <f t="shared" si="131"/>
        <v>106400.00000000001</v>
      </c>
      <c r="V125" s="165" t="s">
        <v>46</v>
      </c>
      <c r="W125" s="165">
        <v>2015</v>
      </c>
      <c r="X125" s="165"/>
    </row>
    <row r="126" spans="1:24" s="162" customFormat="1" ht="84.75" customHeight="1" outlineLevel="1" x14ac:dyDescent="0.25">
      <c r="A126" s="22" t="s">
        <v>464</v>
      </c>
      <c r="B126" s="130" t="s">
        <v>70</v>
      </c>
      <c r="C126" s="140" t="s">
        <v>375</v>
      </c>
      <c r="D126" s="141" t="s">
        <v>373</v>
      </c>
      <c r="E126" s="141" t="s">
        <v>374</v>
      </c>
      <c r="F126" s="129" t="s">
        <v>517</v>
      </c>
      <c r="G126" s="129" t="s">
        <v>27</v>
      </c>
      <c r="H126" s="129">
        <v>100</v>
      </c>
      <c r="I126" s="129">
        <v>710000000</v>
      </c>
      <c r="J126" s="129" t="s">
        <v>71</v>
      </c>
      <c r="K126" s="129" t="s">
        <v>72</v>
      </c>
      <c r="L126" s="129" t="s">
        <v>399</v>
      </c>
      <c r="M126" s="129"/>
      <c r="N126" s="129" t="s">
        <v>77</v>
      </c>
      <c r="O126" s="131" t="s">
        <v>34</v>
      </c>
      <c r="P126" s="132"/>
      <c r="Q126" s="129"/>
      <c r="R126" s="129"/>
      <c r="S126" s="59"/>
      <c r="T126" s="59">
        <v>12000</v>
      </c>
      <c r="U126" s="59">
        <f t="shared" ref="U126" si="133">T126*1.12</f>
        <v>13440.000000000002</v>
      </c>
      <c r="V126" s="129" t="s">
        <v>46</v>
      </c>
      <c r="W126" s="129">
        <v>2015</v>
      </c>
      <c r="X126" s="129"/>
    </row>
    <row r="127" spans="1:24" s="21" customFormat="1" ht="84.75" customHeight="1" outlineLevel="1" x14ac:dyDescent="0.25">
      <c r="A127" s="22" t="s">
        <v>465</v>
      </c>
      <c r="B127" s="23" t="s">
        <v>70</v>
      </c>
      <c r="C127" s="112" t="s">
        <v>378</v>
      </c>
      <c r="D127" s="111" t="s">
        <v>376</v>
      </c>
      <c r="E127" s="111" t="s">
        <v>377</v>
      </c>
      <c r="F127" s="22"/>
      <c r="G127" s="22" t="s">
        <v>27</v>
      </c>
      <c r="H127" s="22">
        <v>100</v>
      </c>
      <c r="I127" s="22">
        <v>710000000</v>
      </c>
      <c r="J127" s="22" t="s">
        <v>71</v>
      </c>
      <c r="K127" s="22" t="s">
        <v>443</v>
      </c>
      <c r="L127" s="22" t="s">
        <v>399</v>
      </c>
      <c r="M127" s="22"/>
      <c r="N127" s="22" t="s">
        <v>77</v>
      </c>
      <c r="O127" s="46" t="s">
        <v>34</v>
      </c>
      <c r="P127" s="45"/>
      <c r="Q127" s="22"/>
      <c r="R127" s="22"/>
      <c r="S127" s="26"/>
      <c r="T127" s="26">
        <v>100000</v>
      </c>
      <c r="U127" s="26">
        <f t="shared" si="131"/>
        <v>112000.00000000001</v>
      </c>
      <c r="V127" s="22" t="s">
        <v>46</v>
      </c>
      <c r="W127" s="22">
        <v>2015</v>
      </c>
      <c r="X127" s="22"/>
    </row>
    <row r="128" spans="1:24" s="21" customFormat="1" ht="84.75" customHeight="1" outlineLevel="1" x14ac:dyDescent="0.25">
      <c r="A128" s="22" t="s">
        <v>466</v>
      </c>
      <c r="B128" s="23" t="s">
        <v>70</v>
      </c>
      <c r="C128" s="112" t="s">
        <v>381</v>
      </c>
      <c r="D128" s="111" t="s">
        <v>380</v>
      </c>
      <c r="E128" s="111" t="s">
        <v>380</v>
      </c>
      <c r="F128" s="22"/>
      <c r="G128" s="22" t="s">
        <v>27</v>
      </c>
      <c r="H128" s="22">
        <v>100</v>
      </c>
      <c r="I128" s="22">
        <v>710000000</v>
      </c>
      <c r="J128" s="22" t="s">
        <v>71</v>
      </c>
      <c r="K128" s="22" t="s">
        <v>443</v>
      </c>
      <c r="L128" s="22" t="s">
        <v>399</v>
      </c>
      <c r="M128" s="22"/>
      <c r="N128" s="22" t="s">
        <v>77</v>
      </c>
      <c r="O128" s="46" t="s">
        <v>34</v>
      </c>
      <c r="P128" s="45"/>
      <c r="Q128" s="22"/>
      <c r="R128" s="22"/>
      <c r="S128" s="26"/>
      <c r="T128" s="26">
        <v>100000</v>
      </c>
      <c r="U128" s="26">
        <f t="shared" si="131"/>
        <v>112000.00000000001</v>
      </c>
      <c r="V128" s="22" t="s">
        <v>46</v>
      </c>
      <c r="W128" s="22">
        <v>2015</v>
      </c>
      <c r="X128" s="22"/>
    </row>
    <row r="129" spans="1:24" s="21" customFormat="1" ht="126" customHeight="1" outlineLevel="1" x14ac:dyDescent="0.25">
      <c r="A129" s="22" t="s">
        <v>467</v>
      </c>
      <c r="B129" s="23" t="s">
        <v>70</v>
      </c>
      <c r="C129" s="112" t="s">
        <v>384</v>
      </c>
      <c r="D129" s="111" t="s">
        <v>382</v>
      </c>
      <c r="E129" s="111" t="s">
        <v>383</v>
      </c>
      <c r="F129" s="22"/>
      <c r="G129" s="22" t="s">
        <v>27</v>
      </c>
      <c r="H129" s="22">
        <v>100</v>
      </c>
      <c r="I129" s="22">
        <v>710000000</v>
      </c>
      <c r="J129" s="22" t="s">
        <v>71</v>
      </c>
      <c r="K129" s="22" t="s">
        <v>365</v>
      </c>
      <c r="L129" s="22" t="s">
        <v>399</v>
      </c>
      <c r="M129" s="22"/>
      <c r="N129" s="22" t="s">
        <v>77</v>
      </c>
      <c r="O129" s="46" t="s">
        <v>34</v>
      </c>
      <c r="P129" s="45"/>
      <c r="Q129" s="22"/>
      <c r="R129" s="22"/>
      <c r="S129" s="26"/>
      <c r="T129" s="26">
        <f>450/1.12*12+1700/1.12</f>
        <v>6339.2857142857138</v>
      </c>
      <c r="U129" s="26">
        <f t="shared" si="131"/>
        <v>7100</v>
      </c>
      <c r="V129" s="22" t="s">
        <v>46</v>
      </c>
      <c r="W129" s="22">
        <v>2015</v>
      </c>
      <c r="X129" s="22"/>
    </row>
    <row r="130" spans="1:24" s="162" customFormat="1" ht="84.75" customHeight="1" outlineLevel="1" x14ac:dyDescent="0.25">
      <c r="A130" s="22" t="s">
        <v>468</v>
      </c>
      <c r="B130" s="130" t="s">
        <v>70</v>
      </c>
      <c r="C130" s="140" t="s">
        <v>386</v>
      </c>
      <c r="D130" s="123" t="s">
        <v>385</v>
      </c>
      <c r="E130" s="123" t="s">
        <v>385</v>
      </c>
      <c r="F130" s="129" t="s">
        <v>388</v>
      </c>
      <c r="G130" s="129" t="s">
        <v>27</v>
      </c>
      <c r="H130" s="129">
        <v>0</v>
      </c>
      <c r="I130" s="129">
        <v>710000000</v>
      </c>
      <c r="J130" s="129" t="s">
        <v>71</v>
      </c>
      <c r="K130" s="129" t="s">
        <v>443</v>
      </c>
      <c r="L130" s="129" t="s">
        <v>399</v>
      </c>
      <c r="M130" s="129"/>
      <c r="N130" s="129" t="s">
        <v>77</v>
      </c>
      <c r="O130" s="131">
        <v>1</v>
      </c>
      <c r="P130" s="132"/>
      <c r="Q130" s="129"/>
      <c r="R130" s="129"/>
      <c r="S130" s="59"/>
      <c r="T130" s="59">
        <v>58000</v>
      </c>
      <c r="U130" s="59">
        <f t="shared" si="131"/>
        <v>64960.000000000007</v>
      </c>
      <c r="V130" s="129" t="s">
        <v>46</v>
      </c>
      <c r="W130" s="129">
        <v>2015</v>
      </c>
      <c r="X130" s="129"/>
    </row>
    <row r="131" spans="1:24" s="162" customFormat="1" ht="84.75" customHeight="1" outlineLevel="1" x14ac:dyDescent="0.25">
      <c r="A131" s="22" t="s">
        <v>469</v>
      </c>
      <c r="B131" s="130" t="s">
        <v>70</v>
      </c>
      <c r="C131" s="140" t="s">
        <v>390</v>
      </c>
      <c r="D131" s="123" t="s">
        <v>389</v>
      </c>
      <c r="E131" s="123" t="s">
        <v>389</v>
      </c>
      <c r="F131" s="129"/>
      <c r="G131" s="129" t="s">
        <v>27</v>
      </c>
      <c r="H131" s="129">
        <v>100</v>
      </c>
      <c r="I131" s="129">
        <v>710000000</v>
      </c>
      <c r="J131" s="129" t="s">
        <v>71</v>
      </c>
      <c r="K131" s="129" t="s">
        <v>391</v>
      </c>
      <c r="L131" s="129" t="s">
        <v>399</v>
      </c>
      <c r="M131" s="129"/>
      <c r="N131" s="129" t="s">
        <v>77</v>
      </c>
      <c r="O131" s="131" t="s">
        <v>34</v>
      </c>
      <c r="P131" s="132"/>
      <c r="Q131" s="129"/>
      <c r="R131" s="129"/>
      <c r="S131" s="59"/>
      <c r="T131" s="59">
        <v>256800</v>
      </c>
      <c r="U131" s="59">
        <f t="shared" si="131"/>
        <v>287616</v>
      </c>
      <c r="V131" s="129" t="s">
        <v>46</v>
      </c>
      <c r="W131" s="129">
        <v>2015</v>
      </c>
      <c r="X131" s="129"/>
    </row>
    <row r="132" spans="1:24" s="21" customFormat="1" ht="84.75" customHeight="1" outlineLevel="1" x14ac:dyDescent="0.25">
      <c r="A132" s="22" t="s">
        <v>470</v>
      </c>
      <c r="B132" s="23" t="s">
        <v>70</v>
      </c>
      <c r="C132" s="112" t="s">
        <v>395</v>
      </c>
      <c r="D132" s="111" t="s">
        <v>393</v>
      </c>
      <c r="E132" s="111" t="s">
        <v>394</v>
      </c>
      <c r="F132" s="22" t="s">
        <v>518</v>
      </c>
      <c r="G132" s="22" t="s">
        <v>27</v>
      </c>
      <c r="H132" s="22">
        <v>100</v>
      </c>
      <c r="I132" s="22">
        <v>710000000</v>
      </c>
      <c r="J132" s="22" t="s">
        <v>71</v>
      </c>
      <c r="K132" s="22" t="s">
        <v>429</v>
      </c>
      <c r="L132" s="22" t="s">
        <v>399</v>
      </c>
      <c r="M132" s="22"/>
      <c r="N132" s="22" t="s">
        <v>77</v>
      </c>
      <c r="O132" s="46" t="s">
        <v>34</v>
      </c>
      <c r="P132" s="45"/>
      <c r="Q132" s="22"/>
      <c r="R132" s="22"/>
      <c r="S132" s="26"/>
      <c r="T132" s="26">
        <v>50000</v>
      </c>
      <c r="U132" s="26">
        <f t="shared" si="131"/>
        <v>56000.000000000007</v>
      </c>
      <c r="V132" s="22" t="s">
        <v>46</v>
      </c>
      <c r="W132" s="22">
        <v>2015</v>
      </c>
      <c r="X132" s="22"/>
    </row>
    <row r="133" spans="1:24" s="21" customFormat="1" ht="84.75" customHeight="1" outlineLevel="1" x14ac:dyDescent="0.25">
      <c r="A133" s="22" t="s">
        <v>471</v>
      </c>
      <c r="B133" s="23" t="s">
        <v>70</v>
      </c>
      <c r="C133" s="112" t="s">
        <v>398</v>
      </c>
      <c r="D133" s="111" t="s">
        <v>396</v>
      </c>
      <c r="E133" s="111" t="s">
        <v>397</v>
      </c>
      <c r="F133" s="22"/>
      <c r="G133" s="22" t="s">
        <v>27</v>
      </c>
      <c r="H133" s="22">
        <v>100</v>
      </c>
      <c r="I133" s="22">
        <v>710000000</v>
      </c>
      <c r="J133" s="22" t="s">
        <v>71</v>
      </c>
      <c r="K133" s="22" t="s">
        <v>391</v>
      </c>
      <c r="L133" s="22" t="s">
        <v>399</v>
      </c>
      <c r="M133" s="22"/>
      <c r="N133" s="22" t="s">
        <v>77</v>
      </c>
      <c r="O133" s="46" t="s">
        <v>34</v>
      </c>
      <c r="P133" s="45"/>
      <c r="Q133" s="22"/>
      <c r="R133" s="22"/>
      <c r="S133" s="26"/>
      <c r="T133" s="26">
        <f>75000/1.12</f>
        <v>66964.28571428571</v>
      </c>
      <c r="U133" s="26">
        <f t="shared" si="131"/>
        <v>75000</v>
      </c>
      <c r="V133" s="22" t="s">
        <v>46</v>
      </c>
      <c r="W133" s="22">
        <v>2015</v>
      </c>
      <c r="X133" s="22"/>
    </row>
    <row r="134" spans="1:24" s="21" customFormat="1" ht="84.75" customHeight="1" outlineLevel="1" x14ac:dyDescent="0.25">
      <c r="A134" s="22" t="s">
        <v>472</v>
      </c>
      <c r="B134" s="23" t="s">
        <v>70</v>
      </c>
      <c r="C134" s="112" t="s">
        <v>398</v>
      </c>
      <c r="D134" s="111" t="s">
        <v>396</v>
      </c>
      <c r="E134" s="111" t="s">
        <v>397</v>
      </c>
      <c r="F134" s="22"/>
      <c r="G134" s="22" t="s">
        <v>27</v>
      </c>
      <c r="H134" s="22">
        <v>100</v>
      </c>
      <c r="I134" s="22">
        <v>710000000</v>
      </c>
      <c r="J134" s="22" t="s">
        <v>71</v>
      </c>
      <c r="K134" s="22" t="s">
        <v>391</v>
      </c>
      <c r="L134" s="22" t="s">
        <v>399</v>
      </c>
      <c r="M134" s="22"/>
      <c r="N134" s="22" t="s">
        <v>77</v>
      </c>
      <c r="O134" s="46" t="s">
        <v>34</v>
      </c>
      <c r="P134" s="45"/>
      <c r="Q134" s="22"/>
      <c r="R134" s="22"/>
      <c r="S134" s="26"/>
      <c r="T134" s="26">
        <v>20000</v>
      </c>
      <c r="U134" s="26">
        <f t="shared" si="131"/>
        <v>22400.000000000004</v>
      </c>
      <c r="V134" s="22" t="s">
        <v>46</v>
      </c>
      <c r="W134" s="22">
        <v>2015</v>
      </c>
      <c r="X134" s="22"/>
    </row>
    <row r="135" spans="1:24" s="21" customFormat="1" ht="84.75" customHeight="1" outlineLevel="1" x14ac:dyDescent="0.25">
      <c r="A135" s="22" t="s">
        <v>473</v>
      </c>
      <c r="B135" s="23" t="s">
        <v>70</v>
      </c>
      <c r="C135" s="112" t="s">
        <v>398</v>
      </c>
      <c r="D135" s="111" t="s">
        <v>396</v>
      </c>
      <c r="E135" s="111" t="s">
        <v>397</v>
      </c>
      <c r="F135" s="22"/>
      <c r="G135" s="22" t="s">
        <v>27</v>
      </c>
      <c r="H135" s="22">
        <v>100</v>
      </c>
      <c r="I135" s="22">
        <v>710000000</v>
      </c>
      <c r="J135" s="22" t="s">
        <v>71</v>
      </c>
      <c r="K135" s="22" t="s">
        <v>391</v>
      </c>
      <c r="L135" s="22" t="s">
        <v>403</v>
      </c>
      <c r="M135" s="22"/>
      <c r="N135" s="22" t="s">
        <v>77</v>
      </c>
      <c r="O135" s="46" t="s">
        <v>34</v>
      </c>
      <c r="P135" s="45"/>
      <c r="Q135" s="22"/>
      <c r="R135" s="22"/>
      <c r="S135" s="26"/>
      <c r="T135" s="26">
        <v>13000</v>
      </c>
      <c r="U135" s="26">
        <f t="shared" si="131"/>
        <v>14560.000000000002</v>
      </c>
      <c r="V135" s="22" t="s">
        <v>46</v>
      </c>
      <c r="W135" s="22">
        <v>2015</v>
      </c>
      <c r="X135" s="22"/>
    </row>
    <row r="136" spans="1:24" s="21" customFormat="1" ht="84.75" customHeight="1" outlineLevel="1" x14ac:dyDescent="0.25">
      <c r="A136" s="22" t="s">
        <v>474</v>
      </c>
      <c r="B136" s="23" t="s">
        <v>70</v>
      </c>
      <c r="C136" s="112" t="s">
        <v>398</v>
      </c>
      <c r="D136" s="111" t="s">
        <v>396</v>
      </c>
      <c r="E136" s="111" t="s">
        <v>397</v>
      </c>
      <c r="F136" s="22"/>
      <c r="G136" s="22" t="s">
        <v>27</v>
      </c>
      <c r="H136" s="22">
        <v>100</v>
      </c>
      <c r="I136" s="22">
        <v>710000000</v>
      </c>
      <c r="J136" s="22" t="s">
        <v>71</v>
      </c>
      <c r="K136" s="22" t="s">
        <v>391</v>
      </c>
      <c r="L136" s="22" t="s">
        <v>401</v>
      </c>
      <c r="M136" s="22"/>
      <c r="N136" s="22" t="s">
        <v>77</v>
      </c>
      <c r="O136" s="46" t="s">
        <v>34</v>
      </c>
      <c r="P136" s="45"/>
      <c r="Q136" s="22"/>
      <c r="R136" s="22"/>
      <c r="S136" s="26"/>
      <c r="T136" s="26">
        <v>46000</v>
      </c>
      <c r="U136" s="26">
        <f t="shared" si="131"/>
        <v>51520.000000000007</v>
      </c>
      <c r="V136" s="22" t="s">
        <v>46</v>
      </c>
      <c r="W136" s="22">
        <v>2015</v>
      </c>
      <c r="X136" s="22"/>
    </row>
    <row r="137" spans="1:24" s="21" customFormat="1" ht="84.75" customHeight="1" outlineLevel="1" x14ac:dyDescent="0.25">
      <c r="A137" s="22" t="s">
        <v>475</v>
      </c>
      <c r="B137" s="23" t="s">
        <v>70</v>
      </c>
      <c r="C137" s="112" t="s">
        <v>398</v>
      </c>
      <c r="D137" s="111" t="s">
        <v>396</v>
      </c>
      <c r="E137" s="111" t="s">
        <v>397</v>
      </c>
      <c r="F137" s="22"/>
      <c r="G137" s="22" t="s">
        <v>27</v>
      </c>
      <c r="H137" s="22">
        <v>100</v>
      </c>
      <c r="I137" s="22">
        <v>710000000</v>
      </c>
      <c r="J137" s="22" t="s">
        <v>71</v>
      </c>
      <c r="K137" s="22" t="s">
        <v>391</v>
      </c>
      <c r="L137" s="22" t="s">
        <v>402</v>
      </c>
      <c r="M137" s="22"/>
      <c r="N137" s="22" t="s">
        <v>77</v>
      </c>
      <c r="O137" s="46" t="s">
        <v>34</v>
      </c>
      <c r="P137" s="45"/>
      <c r="Q137" s="22"/>
      <c r="R137" s="22"/>
      <c r="S137" s="26"/>
      <c r="T137" s="26">
        <v>12000</v>
      </c>
      <c r="U137" s="26">
        <f t="shared" si="131"/>
        <v>13440.000000000002</v>
      </c>
      <c r="V137" s="22" t="s">
        <v>46</v>
      </c>
      <c r="W137" s="22">
        <v>2015</v>
      </c>
      <c r="X137" s="22"/>
    </row>
    <row r="138" spans="1:24" s="162" customFormat="1" ht="110.25" customHeight="1" outlineLevel="1" x14ac:dyDescent="0.25">
      <c r="A138" s="22" t="s">
        <v>534</v>
      </c>
      <c r="B138" s="130" t="s">
        <v>70</v>
      </c>
      <c r="C138" s="140" t="s">
        <v>410</v>
      </c>
      <c r="D138" s="123" t="s">
        <v>408</v>
      </c>
      <c r="E138" s="123" t="s">
        <v>409</v>
      </c>
      <c r="F138" s="129"/>
      <c r="G138" s="129" t="s">
        <v>27</v>
      </c>
      <c r="H138" s="129">
        <v>100</v>
      </c>
      <c r="I138" s="129">
        <v>710000000</v>
      </c>
      <c r="J138" s="129" t="s">
        <v>71</v>
      </c>
      <c r="K138" s="129" t="s">
        <v>411</v>
      </c>
      <c r="L138" s="129" t="s">
        <v>399</v>
      </c>
      <c r="M138" s="129"/>
      <c r="N138" s="129" t="s">
        <v>77</v>
      </c>
      <c r="O138" s="131">
        <v>1</v>
      </c>
      <c r="P138" s="132"/>
      <c r="Q138" s="129"/>
      <c r="R138" s="129"/>
      <c r="S138" s="59"/>
      <c r="T138" s="59">
        <v>19415</v>
      </c>
      <c r="U138" s="59">
        <f t="shared" si="131"/>
        <v>21744.800000000003</v>
      </c>
      <c r="V138" s="129" t="s">
        <v>46</v>
      </c>
      <c r="W138" s="129">
        <v>2015</v>
      </c>
      <c r="X138" s="129"/>
    </row>
    <row r="139" spans="1:24" s="21" customFormat="1" ht="84.75" customHeight="1" outlineLevel="1" x14ac:dyDescent="0.25">
      <c r="A139" s="22" t="s">
        <v>535</v>
      </c>
      <c r="B139" s="23" t="s">
        <v>70</v>
      </c>
      <c r="C139" s="112" t="s">
        <v>413</v>
      </c>
      <c r="D139" s="111" t="s">
        <v>412</v>
      </c>
      <c r="E139" s="111" t="s">
        <v>412</v>
      </c>
      <c r="F139" s="22"/>
      <c r="G139" s="22" t="s">
        <v>27</v>
      </c>
      <c r="H139" s="22">
        <v>100</v>
      </c>
      <c r="I139" s="22">
        <v>710000000</v>
      </c>
      <c r="J139" s="22" t="s">
        <v>71</v>
      </c>
      <c r="K139" s="22" t="s">
        <v>414</v>
      </c>
      <c r="L139" s="22" t="s">
        <v>399</v>
      </c>
      <c r="M139" s="22"/>
      <c r="N139" s="22" t="s">
        <v>77</v>
      </c>
      <c r="O139" s="46" t="s">
        <v>34</v>
      </c>
      <c r="P139" s="45"/>
      <c r="Q139" s="22"/>
      <c r="R139" s="22"/>
      <c r="S139" s="26"/>
      <c r="T139" s="59">
        <v>62000</v>
      </c>
      <c r="U139" s="59">
        <f t="shared" si="131"/>
        <v>69440</v>
      </c>
      <c r="V139" s="22" t="s">
        <v>46</v>
      </c>
      <c r="W139" s="22">
        <v>2015</v>
      </c>
      <c r="X139" s="22"/>
    </row>
    <row r="140" spans="1:24" s="162" customFormat="1" ht="124.5" customHeight="1" outlineLevel="1" x14ac:dyDescent="0.25">
      <c r="A140" s="22" t="s">
        <v>536</v>
      </c>
      <c r="B140" s="130" t="s">
        <v>70</v>
      </c>
      <c r="C140" s="140" t="s">
        <v>418</v>
      </c>
      <c r="D140" s="123" t="s">
        <v>416</v>
      </c>
      <c r="E140" s="123" t="s">
        <v>417</v>
      </c>
      <c r="F140" s="129"/>
      <c r="G140" s="129" t="s">
        <v>27</v>
      </c>
      <c r="H140" s="129">
        <v>100</v>
      </c>
      <c r="I140" s="129">
        <v>710000000</v>
      </c>
      <c r="J140" s="129" t="s">
        <v>71</v>
      </c>
      <c r="K140" s="129" t="s">
        <v>508</v>
      </c>
      <c r="L140" s="129" t="s">
        <v>399</v>
      </c>
      <c r="M140" s="129"/>
      <c r="N140" s="129" t="s">
        <v>77</v>
      </c>
      <c r="O140" s="131">
        <v>1</v>
      </c>
      <c r="P140" s="132"/>
      <c r="Q140" s="129"/>
      <c r="R140" s="129"/>
      <c r="S140" s="59"/>
      <c r="T140" s="59">
        <v>206615</v>
      </c>
      <c r="U140" s="59">
        <f t="shared" si="131"/>
        <v>231408.80000000002</v>
      </c>
      <c r="V140" s="129" t="s">
        <v>46</v>
      </c>
      <c r="W140" s="129">
        <v>2015</v>
      </c>
      <c r="X140" s="129"/>
    </row>
    <row r="141" spans="1:24" s="21" customFormat="1" ht="84.75" customHeight="1" outlineLevel="1" x14ac:dyDescent="0.25">
      <c r="A141" s="22" t="s">
        <v>537</v>
      </c>
      <c r="B141" s="23" t="s">
        <v>70</v>
      </c>
      <c r="C141" s="112" t="s">
        <v>420</v>
      </c>
      <c r="D141" s="111" t="s">
        <v>419</v>
      </c>
      <c r="E141" s="111" t="s">
        <v>419</v>
      </c>
      <c r="F141" s="22" t="s">
        <v>421</v>
      </c>
      <c r="G141" s="22" t="s">
        <v>27</v>
      </c>
      <c r="H141" s="22">
        <v>100</v>
      </c>
      <c r="I141" s="22">
        <v>710000000</v>
      </c>
      <c r="J141" s="22" t="s">
        <v>71</v>
      </c>
      <c r="K141" s="22" t="s">
        <v>414</v>
      </c>
      <c r="L141" s="22" t="s">
        <v>399</v>
      </c>
      <c r="M141" s="22"/>
      <c r="N141" s="22" t="s">
        <v>77</v>
      </c>
      <c r="O141" s="46" t="s">
        <v>34</v>
      </c>
      <c r="P141" s="45"/>
      <c r="Q141" s="22"/>
      <c r="R141" s="22"/>
      <c r="S141" s="26"/>
      <c r="T141" s="59">
        <f>25856*12</f>
        <v>310272</v>
      </c>
      <c r="U141" s="59">
        <f t="shared" si="131"/>
        <v>347504.64000000001</v>
      </c>
      <c r="V141" s="22" t="s">
        <v>46</v>
      </c>
      <c r="W141" s="22">
        <v>2015</v>
      </c>
      <c r="X141" s="22"/>
    </row>
    <row r="142" spans="1:24" s="21" customFormat="1" ht="84.75" customHeight="1" outlineLevel="1" x14ac:dyDescent="0.25">
      <c r="A142" s="22" t="s">
        <v>538</v>
      </c>
      <c r="B142" s="23" t="s">
        <v>70</v>
      </c>
      <c r="C142" s="112" t="s">
        <v>423</v>
      </c>
      <c r="D142" s="111" t="s">
        <v>422</v>
      </c>
      <c r="E142" s="111" t="s">
        <v>422</v>
      </c>
      <c r="F142" s="22"/>
      <c r="G142" s="22" t="s">
        <v>27</v>
      </c>
      <c r="H142" s="22">
        <v>100</v>
      </c>
      <c r="I142" s="22">
        <v>710000000</v>
      </c>
      <c r="J142" s="22" t="s">
        <v>71</v>
      </c>
      <c r="K142" s="22" t="s">
        <v>414</v>
      </c>
      <c r="L142" s="22" t="s">
        <v>401</v>
      </c>
      <c r="M142" s="22"/>
      <c r="N142" s="22" t="s">
        <v>77</v>
      </c>
      <c r="O142" s="46" t="s">
        <v>34</v>
      </c>
      <c r="P142" s="45"/>
      <c r="Q142" s="22"/>
      <c r="R142" s="22"/>
      <c r="S142" s="26"/>
      <c r="T142" s="59">
        <v>756900</v>
      </c>
      <c r="U142" s="59">
        <f t="shared" si="131"/>
        <v>847728.00000000012</v>
      </c>
      <c r="V142" s="22" t="s">
        <v>46</v>
      </c>
      <c r="W142" s="22">
        <v>2015</v>
      </c>
      <c r="X142" s="22"/>
    </row>
    <row r="143" spans="1:24" s="21" customFormat="1" ht="84.75" customHeight="1" outlineLevel="1" x14ac:dyDescent="0.25">
      <c r="A143" s="22" t="s">
        <v>539</v>
      </c>
      <c r="B143" s="23" t="s">
        <v>70</v>
      </c>
      <c r="C143" s="112" t="s">
        <v>425</v>
      </c>
      <c r="D143" s="114" t="s">
        <v>424</v>
      </c>
      <c r="E143" s="114" t="s">
        <v>424</v>
      </c>
      <c r="F143" s="22"/>
      <c r="G143" s="22" t="s">
        <v>27</v>
      </c>
      <c r="H143" s="22">
        <v>100</v>
      </c>
      <c r="I143" s="22">
        <v>710000000</v>
      </c>
      <c r="J143" s="22" t="s">
        <v>71</v>
      </c>
      <c r="K143" s="22" t="s">
        <v>72</v>
      </c>
      <c r="L143" s="22" t="s">
        <v>401</v>
      </c>
      <c r="M143" s="22"/>
      <c r="N143" s="22" t="s">
        <v>77</v>
      </c>
      <c r="O143" s="46">
        <v>1</v>
      </c>
      <c r="P143" s="45"/>
      <c r="Q143" s="22"/>
      <c r="R143" s="22"/>
      <c r="S143" s="26"/>
      <c r="T143" s="59">
        <v>200000</v>
      </c>
      <c r="U143" s="59">
        <f t="shared" si="131"/>
        <v>224000.00000000003</v>
      </c>
      <c r="V143" s="22" t="s">
        <v>46</v>
      </c>
      <c r="W143" s="22">
        <v>2015</v>
      </c>
      <c r="X143" s="22"/>
    </row>
    <row r="144" spans="1:24" s="16" customFormat="1" ht="15" customHeight="1" x14ac:dyDescent="0.25">
      <c r="A144" s="178" t="s">
        <v>476</v>
      </c>
      <c r="B144" s="178"/>
      <c r="C144" s="178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  <c r="O144" s="41"/>
      <c r="P144" s="39"/>
      <c r="Q144" s="39"/>
      <c r="R144" s="39"/>
      <c r="S144" s="39"/>
      <c r="T144" s="42">
        <f>SUM(T111:T143)</f>
        <v>11183163.142857142</v>
      </c>
      <c r="U144" s="42">
        <f>SUM(U111:U143)</f>
        <v>12525142.720000003</v>
      </c>
      <c r="V144" s="39"/>
      <c r="W144" s="39"/>
      <c r="X144" s="39"/>
    </row>
    <row r="145" spans="1:24" s="16" customFormat="1" ht="15" customHeight="1" x14ac:dyDescent="0.25">
      <c r="A145" s="178" t="s">
        <v>477</v>
      </c>
      <c r="B145" s="178"/>
      <c r="C145" s="178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  <c r="O145" s="41"/>
      <c r="P145" s="39"/>
      <c r="Q145" s="39"/>
      <c r="R145" s="39"/>
      <c r="S145" s="39"/>
      <c r="T145" s="42">
        <f>T144+T109+T105</f>
        <v>24559370.321428575</v>
      </c>
      <c r="U145" s="42">
        <f>U144+U109+U105</f>
        <v>27506494.760000005</v>
      </c>
      <c r="V145" s="39"/>
      <c r="W145" s="39"/>
      <c r="X145" s="39"/>
    </row>
    <row r="146" spans="1:24" s="16" customFormat="1" ht="15" customHeight="1" x14ac:dyDescent="0.25">
      <c r="A146" s="98"/>
      <c r="B146" s="98"/>
      <c r="C146" s="98"/>
      <c r="D146" s="98"/>
      <c r="E146" s="98"/>
      <c r="F146" s="98"/>
      <c r="G146" s="98"/>
      <c r="H146" s="120"/>
      <c r="I146" s="120"/>
      <c r="J146" s="98"/>
      <c r="K146" s="98"/>
      <c r="L146" s="98"/>
      <c r="M146" s="98"/>
      <c r="N146" s="98"/>
      <c r="O146" s="121"/>
      <c r="P146" s="98"/>
      <c r="Q146" s="98"/>
      <c r="R146" s="98"/>
      <c r="S146" s="98"/>
      <c r="T146" s="122"/>
      <c r="U146" s="122"/>
      <c r="V146" s="98"/>
      <c r="W146" s="98"/>
      <c r="X146" s="98"/>
    </row>
    <row r="147" spans="1:24" s="16" customFormat="1" ht="15" customHeight="1" x14ac:dyDescent="0.25">
      <c r="A147" s="98"/>
      <c r="B147" s="98"/>
      <c r="C147" s="98"/>
      <c r="D147" s="98"/>
      <c r="E147" s="98"/>
      <c r="F147" s="98"/>
      <c r="G147" s="98"/>
      <c r="H147" s="120"/>
      <c r="I147" s="120"/>
      <c r="J147" s="98"/>
      <c r="K147" s="98"/>
      <c r="L147" s="98"/>
      <c r="M147" s="98"/>
      <c r="N147" s="98"/>
      <c r="O147" s="121"/>
      <c r="P147" s="98"/>
      <c r="Q147" s="98"/>
      <c r="R147" s="98"/>
      <c r="S147" s="98"/>
      <c r="T147" s="122"/>
      <c r="U147" s="122"/>
      <c r="V147" s="98"/>
      <c r="W147" s="98"/>
      <c r="X147" s="98"/>
    </row>
    <row r="148" spans="1:24" ht="15.75" customHeight="1" x14ac:dyDescent="0.25">
      <c r="B148" s="172" t="s">
        <v>478</v>
      </c>
      <c r="C148" s="172"/>
      <c r="D148" s="172"/>
    </row>
    <row r="149" spans="1:24" s="18" customFormat="1" ht="17.25" customHeight="1" x14ac:dyDescent="0.25">
      <c r="B149" s="172" t="s">
        <v>70</v>
      </c>
      <c r="C149" s="172"/>
      <c r="D149" s="172"/>
      <c r="O149" s="19"/>
      <c r="P149" s="20"/>
      <c r="U149" s="179" t="s">
        <v>481</v>
      </c>
      <c r="V149" s="179"/>
      <c r="W149" s="179"/>
    </row>
    <row r="150" spans="1:24" x14ac:dyDescent="0.25">
      <c r="T150" s="170"/>
    </row>
    <row r="152" spans="1:24" ht="38.25" customHeight="1" x14ac:dyDescent="0.25">
      <c r="B152" s="172" t="s">
        <v>512</v>
      </c>
      <c r="C152" s="172"/>
      <c r="D152" s="172"/>
      <c r="T152" s="2"/>
      <c r="U152" s="179" t="s">
        <v>513</v>
      </c>
      <c r="V152" s="179"/>
      <c r="W152" s="179"/>
    </row>
    <row r="153" spans="1:24" ht="18.75" x14ac:dyDescent="0.25">
      <c r="B153" s="18"/>
      <c r="C153" s="18"/>
      <c r="E153" s="2"/>
    </row>
    <row r="154" spans="1:24" ht="63.75" customHeight="1" x14ac:dyDescent="0.25">
      <c r="B154" s="172" t="s">
        <v>514</v>
      </c>
      <c r="C154" s="172"/>
      <c r="D154" s="172"/>
      <c r="U154" s="179" t="s">
        <v>515</v>
      </c>
      <c r="V154" s="179"/>
      <c r="W154" s="179"/>
    </row>
    <row r="158" spans="1:24" ht="15" customHeight="1" x14ac:dyDescent="0.25">
      <c r="B158" s="174" t="s">
        <v>479</v>
      </c>
      <c r="C158" s="174"/>
      <c r="D158" s="174"/>
    </row>
    <row r="159" spans="1:24" x14ac:dyDescent="0.25">
      <c r="B159" s="174" t="s">
        <v>480</v>
      </c>
      <c r="C159" s="174"/>
      <c r="D159" s="174"/>
    </row>
  </sheetData>
  <autoFilter ref="A13:Y17"/>
  <mergeCells count="20">
    <mergeCell ref="U152:W152"/>
    <mergeCell ref="B154:D154"/>
    <mergeCell ref="B152:D152"/>
    <mergeCell ref="U154:W154"/>
    <mergeCell ref="B2:D2"/>
    <mergeCell ref="B148:D148"/>
    <mergeCell ref="S2:X2"/>
    <mergeCell ref="B158:D158"/>
    <mergeCell ref="B159:D159"/>
    <mergeCell ref="A4:X4"/>
    <mergeCell ref="A15:X15"/>
    <mergeCell ref="A109:C109"/>
    <mergeCell ref="A105:C105"/>
    <mergeCell ref="A106:C106"/>
    <mergeCell ref="T6:X6"/>
    <mergeCell ref="A110:X110"/>
    <mergeCell ref="U149:W149"/>
    <mergeCell ref="A144:C144"/>
    <mergeCell ref="A145:C145"/>
    <mergeCell ref="B149:D149"/>
  </mergeCells>
  <pageMargins left="0.11811023622047245" right="0.11811023622047245" top="0.78740157480314965" bottom="0.39370078740157483" header="0.31496062992125984" footer="0.31496062992125984"/>
  <pageSetup paperSize="9" scale="3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opLeftCell="A11" workbookViewId="0">
      <selection activeCell="M22" sqref="M22"/>
    </sheetView>
  </sheetViews>
  <sheetFormatPr defaultRowHeight="15" x14ac:dyDescent="0.25"/>
  <cols>
    <col min="2" max="2" width="7.42578125" style="21" customWidth="1"/>
    <col min="3" max="3" width="27.28515625" style="21" customWidth="1"/>
    <col min="4" max="4" width="34.140625" style="21" customWidth="1"/>
    <col min="5" max="5" width="17" style="21" customWidth="1"/>
    <col min="6" max="6" width="19.5703125" style="21" customWidth="1"/>
    <col min="7" max="7" width="26.28515625" style="21" customWidth="1"/>
    <col min="8" max="8" width="20.28515625" style="21" customWidth="1"/>
    <col min="9" max="9" width="20" style="21" customWidth="1"/>
    <col min="10" max="10" width="11" style="21" customWidth="1"/>
    <col min="11" max="11" width="10" style="21" customWidth="1"/>
    <col min="13" max="13" width="11.42578125" bestFit="1" customWidth="1"/>
  </cols>
  <sheetData>
    <row r="1" spans="2:11" ht="15.75" thickBot="1" x14ac:dyDescent="0.3">
      <c r="C1" s="64"/>
      <c r="D1" s="64"/>
      <c r="E1" s="64"/>
      <c r="F1" s="64"/>
      <c r="G1" s="64"/>
      <c r="I1" s="64"/>
      <c r="J1" s="64"/>
      <c r="K1" s="64"/>
    </row>
    <row r="2" spans="2:11" ht="15.75" thickBot="1" x14ac:dyDescent="0.3">
      <c r="C2" s="60"/>
      <c r="D2" s="60"/>
      <c r="E2" s="60"/>
      <c r="F2" s="60"/>
      <c r="G2" s="60"/>
      <c r="I2" s="64"/>
      <c r="J2" s="64"/>
      <c r="K2" s="64"/>
    </row>
    <row r="3" spans="2:11" x14ac:dyDescent="0.25">
      <c r="I3" s="64"/>
      <c r="J3" s="64"/>
      <c r="K3" s="64"/>
    </row>
    <row r="4" spans="2:11" x14ac:dyDescent="0.25">
      <c r="B4" s="175" t="s">
        <v>66</v>
      </c>
      <c r="C4" s="175"/>
      <c r="D4" s="175"/>
      <c r="E4" s="175"/>
      <c r="F4" s="175"/>
      <c r="G4" s="175"/>
      <c r="H4" s="175"/>
      <c r="I4" s="175"/>
      <c r="J4" s="175"/>
      <c r="K4" s="175"/>
    </row>
    <row r="5" spans="2:11" x14ac:dyDescent="0.25">
      <c r="C5" s="6"/>
      <c r="D5" s="6"/>
      <c r="E5" s="6"/>
      <c r="F5" s="6"/>
      <c r="G5" s="6"/>
      <c r="H5" s="6"/>
      <c r="I5" s="6"/>
      <c r="J5" s="10"/>
      <c r="K5" s="10"/>
    </row>
    <row r="6" spans="2:11" x14ac:dyDescent="0.25">
      <c r="F6" s="64"/>
      <c r="G6" s="64"/>
      <c r="H6" s="171" t="s">
        <v>67</v>
      </c>
      <c r="I6" s="171"/>
      <c r="J6" s="171"/>
      <c r="K6" s="171"/>
    </row>
    <row r="7" spans="2:11" x14ac:dyDescent="0.25">
      <c r="F7" s="64"/>
      <c r="G7" s="64"/>
      <c r="H7" s="6"/>
      <c r="I7" s="6"/>
      <c r="J7" s="10"/>
      <c r="K7" s="10"/>
    </row>
    <row r="8" spans="2:11" x14ac:dyDescent="0.25"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2:11" x14ac:dyDescent="0.25">
      <c r="D9" s="13"/>
      <c r="F9" s="64"/>
      <c r="G9" s="64"/>
      <c r="H9" s="6"/>
      <c r="I9" s="6"/>
      <c r="J9" s="10"/>
      <c r="K9" s="10"/>
    </row>
    <row r="11" spans="2:11" x14ac:dyDescent="0.25">
      <c r="B11" s="64"/>
    </row>
    <row r="12" spans="2:11" ht="15.75" thickBot="1" x14ac:dyDescent="0.3">
      <c r="C12" s="64"/>
      <c r="D12" s="64"/>
      <c r="E12" s="64"/>
      <c r="F12" s="64"/>
      <c r="G12" s="64"/>
      <c r="H12" s="64"/>
      <c r="I12" s="64"/>
      <c r="J12" s="64"/>
      <c r="K12" s="64"/>
    </row>
    <row r="13" spans="2:11" ht="94.5" x14ac:dyDescent="0.25">
      <c r="B13" s="29" t="s">
        <v>1</v>
      </c>
      <c r="C13" s="31" t="s">
        <v>4</v>
      </c>
      <c r="D13" s="30" t="s">
        <v>5</v>
      </c>
      <c r="E13" s="30" t="s">
        <v>8</v>
      </c>
      <c r="F13" s="30" t="s">
        <v>11</v>
      </c>
      <c r="G13" s="30" t="s">
        <v>12</v>
      </c>
      <c r="H13" s="30" t="s">
        <v>20</v>
      </c>
      <c r="I13" s="30" t="s">
        <v>21</v>
      </c>
      <c r="J13" s="30" t="s">
        <v>432</v>
      </c>
      <c r="K13" s="30" t="s">
        <v>433</v>
      </c>
    </row>
    <row r="14" spans="2:11" ht="16.5" thickBot="1" x14ac:dyDescent="0.3">
      <c r="B14" s="34">
        <v>1</v>
      </c>
      <c r="C14" s="36">
        <v>4</v>
      </c>
      <c r="D14" s="35">
        <v>5</v>
      </c>
      <c r="E14" s="35">
        <v>8</v>
      </c>
      <c r="F14" s="35">
        <v>11</v>
      </c>
      <c r="G14" s="35">
        <v>12</v>
      </c>
      <c r="H14" s="35">
        <v>20</v>
      </c>
      <c r="I14" s="35">
        <v>21</v>
      </c>
      <c r="J14" s="35">
        <v>22</v>
      </c>
      <c r="K14" s="35">
        <v>23</v>
      </c>
    </row>
    <row r="15" spans="2:11" ht="16.5" thickBot="1" x14ac:dyDescent="0.3">
      <c r="B15" s="191" t="s">
        <v>25</v>
      </c>
      <c r="C15" s="192"/>
      <c r="D15" s="192"/>
      <c r="E15" s="192"/>
      <c r="F15" s="192"/>
      <c r="G15" s="192"/>
      <c r="H15" s="192"/>
      <c r="I15" s="192"/>
      <c r="J15" s="192"/>
      <c r="K15" s="192"/>
    </row>
    <row r="16" spans="2:11" ht="32.25" thickBot="1" x14ac:dyDescent="0.3">
      <c r="B16" s="22" t="s">
        <v>45</v>
      </c>
      <c r="C16" s="53" t="s">
        <v>355</v>
      </c>
      <c r="D16" s="54" t="s">
        <v>355</v>
      </c>
      <c r="E16" s="22">
        <v>100</v>
      </c>
      <c r="F16" s="22" t="s">
        <v>426</v>
      </c>
      <c r="G16" s="22" t="s">
        <v>399</v>
      </c>
      <c r="H16" s="42">
        <f>199764/1.12*12</f>
        <v>2140328.5714285709</v>
      </c>
      <c r="I16" s="42">
        <f t="shared" ref="I16" si="0">H16*1.12</f>
        <v>2397167.9999999995</v>
      </c>
      <c r="J16" s="39">
        <v>4013000</v>
      </c>
      <c r="K16" s="22"/>
    </row>
    <row r="17" spans="2:13" ht="32.25" thickBot="1" x14ac:dyDescent="0.3">
      <c r="B17" s="22" t="s">
        <v>45</v>
      </c>
      <c r="C17" s="53" t="s">
        <v>355</v>
      </c>
      <c r="D17" s="54" t="s">
        <v>355</v>
      </c>
      <c r="E17" s="22">
        <v>100</v>
      </c>
      <c r="F17" s="22" t="s">
        <v>426</v>
      </c>
      <c r="G17" s="22" t="s">
        <v>400</v>
      </c>
      <c r="H17" s="26">
        <f>4032/1.12*12</f>
        <v>43199.999999999993</v>
      </c>
      <c r="I17" s="26"/>
      <c r="J17" s="22"/>
      <c r="K17" s="22"/>
    </row>
    <row r="18" spans="2:13" ht="32.25" thickBot="1" x14ac:dyDescent="0.3">
      <c r="B18" s="22" t="s">
        <v>45</v>
      </c>
      <c r="C18" s="53" t="s">
        <v>355</v>
      </c>
      <c r="D18" s="54" t="s">
        <v>355</v>
      </c>
      <c r="E18" s="22">
        <v>100</v>
      </c>
      <c r="F18" s="22" t="s">
        <v>426</v>
      </c>
      <c r="G18" s="22" t="s">
        <v>401</v>
      </c>
      <c r="H18" s="26">
        <v>23186</v>
      </c>
      <c r="I18" s="26"/>
      <c r="J18" s="22"/>
      <c r="K18" s="22"/>
    </row>
    <row r="19" spans="2:13" ht="32.25" thickBot="1" x14ac:dyDescent="0.3">
      <c r="B19" s="22" t="s">
        <v>45</v>
      </c>
      <c r="C19" s="53" t="s">
        <v>355</v>
      </c>
      <c r="D19" s="54" t="s">
        <v>355</v>
      </c>
      <c r="E19" s="22">
        <v>100</v>
      </c>
      <c r="F19" s="22" t="s">
        <v>426</v>
      </c>
      <c r="G19" s="22" t="s">
        <v>402</v>
      </c>
      <c r="H19" s="26">
        <f>3528/1.12*12</f>
        <v>37799.999999999993</v>
      </c>
      <c r="I19" s="26"/>
      <c r="J19" s="22"/>
      <c r="K19" s="22"/>
    </row>
    <row r="20" spans="2:13" ht="32.25" thickBot="1" x14ac:dyDescent="0.3">
      <c r="B20" s="22" t="s">
        <v>45</v>
      </c>
      <c r="C20" s="53" t="s">
        <v>355</v>
      </c>
      <c r="D20" s="54" t="s">
        <v>355</v>
      </c>
      <c r="E20" s="22">
        <v>100</v>
      </c>
      <c r="F20" s="22" t="s">
        <v>426</v>
      </c>
      <c r="G20" s="22" t="s">
        <v>358</v>
      </c>
      <c r="H20" s="26">
        <f>2016/1.12*12</f>
        <v>21599.999999999996</v>
      </c>
      <c r="I20" s="26"/>
      <c r="J20" s="22"/>
      <c r="K20" s="22"/>
    </row>
    <row r="21" spans="2:13" ht="16.5" thickBot="1" x14ac:dyDescent="0.3">
      <c r="B21" s="22"/>
      <c r="C21" s="53"/>
      <c r="D21" s="54"/>
      <c r="E21" s="22"/>
      <c r="F21" s="22"/>
      <c r="G21" s="22"/>
      <c r="H21" s="42">
        <f>SUM(H17:H20)</f>
        <v>125786</v>
      </c>
      <c r="I21" s="42">
        <v>169000</v>
      </c>
      <c r="J21" s="39"/>
      <c r="K21" s="22"/>
      <c r="M21" s="109">
        <f>H16+H17+H18+H19+H20</f>
        <v>2266114.5714285709</v>
      </c>
    </row>
    <row r="22" spans="2:13" ht="32.25" thickBot="1" x14ac:dyDescent="0.3">
      <c r="B22" s="22" t="s">
        <v>45</v>
      </c>
      <c r="C22" s="56" t="s">
        <v>369</v>
      </c>
      <c r="D22" s="57" t="s">
        <v>369</v>
      </c>
      <c r="E22" s="22">
        <v>100</v>
      </c>
      <c r="F22" s="22" t="s">
        <v>426</v>
      </c>
      <c r="G22" s="22" t="s">
        <v>401</v>
      </c>
      <c r="H22" s="106">
        <f>8131/1.12*12</f>
        <v>87117.85714285713</v>
      </c>
      <c r="I22" s="106">
        <f>8131/1.12*12</f>
        <v>87117.85714285713</v>
      </c>
      <c r="J22" s="22"/>
      <c r="K22" s="22"/>
    </row>
    <row r="23" spans="2:13" ht="32.25" thickBot="1" x14ac:dyDescent="0.3">
      <c r="B23" s="22" t="s">
        <v>45</v>
      </c>
      <c r="C23" s="56" t="s">
        <v>369</v>
      </c>
      <c r="D23" s="57" t="s">
        <v>369</v>
      </c>
      <c r="E23" s="22">
        <v>100</v>
      </c>
      <c r="F23" s="22" t="s">
        <v>426</v>
      </c>
      <c r="G23" s="22" t="s">
        <v>401</v>
      </c>
      <c r="H23" s="106">
        <f>13440/1.12*12</f>
        <v>143999.99999999997</v>
      </c>
      <c r="I23" s="106">
        <f>13440/1.12*12</f>
        <v>143999.99999999997</v>
      </c>
      <c r="J23" s="22"/>
      <c r="K23" s="22"/>
    </row>
    <row r="25" spans="2:13" ht="18.75" customHeight="1" x14ac:dyDescent="0.25">
      <c r="C25" s="61"/>
    </row>
    <row r="26" spans="2:13" ht="18.75" customHeight="1" x14ac:dyDescent="0.25">
      <c r="B26" s="18"/>
      <c r="C26" s="61"/>
      <c r="D26" s="18"/>
      <c r="E26" s="18"/>
      <c r="F26" s="18"/>
      <c r="G26" s="18"/>
      <c r="H26" s="18"/>
      <c r="I26" s="179" t="s">
        <v>65</v>
      </c>
      <c r="J26" s="179"/>
      <c r="K26" s="179"/>
    </row>
    <row r="29" spans="2:13" x14ac:dyDescent="0.25">
      <c r="H29" s="64"/>
    </row>
    <row r="30" spans="2:13" x14ac:dyDescent="0.25">
      <c r="D30" s="64"/>
    </row>
    <row r="36" spans="3:3" ht="15" customHeight="1" x14ac:dyDescent="0.25">
      <c r="C36" s="62"/>
    </row>
    <row r="37" spans="3:3" x14ac:dyDescent="0.25">
      <c r="C37" s="62"/>
    </row>
  </sheetData>
  <mergeCells count="4">
    <mergeCell ref="I26:K26"/>
    <mergeCell ref="B4:K4"/>
    <mergeCell ref="H6:K6"/>
    <mergeCell ref="B15:K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8"/>
  <sheetViews>
    <sheetView topLeftCell="A8" workbookViewId="0">
      <selection activeCell="I29" sqref="I29"/>
    </sheetView>
  </sheetViews>
  <sheetFormatPr defaultRowHeight="15" x14ac:dyDescent="0.25"/>
  <cols>
    <col min="3" max="3" width="7.42578125" style="21" customWidth="1"/>
    <col min="4" max="4" width="27.28515625" style="21" customWidth="1"/>
    <col min="5" max="5" width="34.140625" style="21" customWidth="1"/>
    <col min="6" max="6" width="17" style="21" customWidth="1"/>
    <col min="7" max="7" width="19.5703125" style="21" customWidth="1"/>
    <col min="8" max="8" width="26.28515625" style="21" customWidth="1"/>
    <col min="9" max="9" width="20.28515625" style="21" customWidth="1"/>
    <col min="10" max="10" width="20" style="21" customWidth="1"/>
    <col min="11" max="11" width="11" style="21" customWidth="1"/>
  </cols>
  <sheetData>
    <row r="1" spans="3:11" ht="15.75" thickBot="1" x14ac:dyDescent="0.3">
      <c r="D1" s="64"/>
      <c r="E1" s="64"/>
      <c r="F1" s="64"/>
      <c r="G1" s="64"/>
      <c r="H1" s="64"/>
      <c r="J1" s="64"/>
      <c r="K1" s="64"/>
    </row>
    <row r="2" spans="3:11" ht="15.75" thickBot="1" x14ac:dyDescent="0.3">
      <c r="D2" s="60"/>
      <c r="E2" s="60"/>
      <c r="F2" s="60"/>
      <c r="G2" s="60"/>
      <c r="H2" s="60"/>
      <c r="J2" s="64"/>
      <c r="K2" s="64"/>
    </row>
    <row r="3" spans="3:11" x14ac:dyDescent="0.25">
      <c r="J3" s="64"/>
      <c r="K3" s="64"/>
    </row>
    <row r="4" spans="3:11" x14ac:dyDescent="0.25">
      <c r="C4" s="175" t="s">
        <v>66</v>
      </c>
      <c r="D4" s="175"/>
      <c r="E4" s="175"/>
      <c r="F4" s="175"/>
      <c r="G4" s="175"/>
      <c r="H4" s="175"/>
      <c r="I4" s="175"/>
      <c r="J4" s="175"/>
      <c r="K4" s="175"/>
    </row>
    <row r="5" spans="3:11" x14ac:dyDescent="0.25">
      <c r="D5" s="6"/>
      <c r="E5" s="6"/>
      <c r="F5" s="6"/>
      <c r="G5" s="6"/>
      <c r="H5" s="6"/>
      <c r="I5" s="6"/>
      <c r="J5" s="6"/>
      <c r="K5" s="10"/>
    </row>
    <row r="6" spans="3:11" x14ac:dyDescent="0.25">
      <c r="G6" s="64"/>
      <c r="H6" s="64"/>
      <c r="I6" s="171" t="s">
        <v>67</v>
      </c>
      <c r="J6" s="171"/>
      <c r="K6" s="171"/>
    </row>
    <row r="7" spans="3:11" x14ac:dyDescent="0.25">
      <c r="G7" s="64"/>
      <c r="H7" s="64"/>
      <c r="I7" s="6"/>
      <c r="J7" s="6"/>
      <c r="K7" s="10"/>
    </row>
    <row r="8" spans="3:11" x14ac:dyDescent="0.25">
      <c r="C8" s="64"/>
      <c r="D8" s="64"/>
      <c r="E8" s="64"/>
      <c r="F8" s="64"/>
      <c r="G8" s="64"/>
      <c r="H8" s="64"/>
      <c r="I8" s="64"/>
      <c r="J8" s="64"/>
      <c r="K8" s="64"/>
    </row>
    <row r="9" spans="3:11" x14ac:dyDescent="0.25">
      <c r="E9" s="13"/>
      <c r="G9" s="64"/>
      <c r="H9" s="64"/>
      <c r="I9" s="6"/>
      <c r="J9" s="6"/>
      <c r="K9" s="10"/>
    </row>
    <row r="11" spans="3:11" x14ac:dyDescent="0.25">
      <c r="C11" s="64"/>
    </row>
    <row r="12" spans="3:11" ht="15.75" thickBot="1" x14ac:dyDescent="0.3">
      <c r="D12" s="64"/>
      <c r="E12" s="64"/>
      <c r="F12" s="64"/>
      <c r="G12" s="64"/>
      <c r="H12" s="64"/>
      <c r="I12" s="64"/>
      <c r="J12" s="64"/>
      <c r="K12" s="64"/>
    </row>
    <row r="13" spans="3:11" ht="94.5" x14ac:dyDescent="0.25">
      <c r="C13" s="29" t="s">
        <v>1</v>
      </c>
      <c r="D13" s="31" t="s">
        <v>4</v>
      </c>
      <c r="E13" s="30" t="s">
        <v>5</v>
      </c>
      <c r="F13" s="30" t="s">
        <v>8</v>
      </c>
      <c r="G13" s="30" t="s">
        <v>11</v>
      </c>
      <c r="H13" s="30" t="s">
        <v>12</v>
      </c>
      <c r="I13" s="30" t="s">
        <v>20</v>
      </c>
      <c r="J13" s="30" t="s">
        <v>432</v>
      </c>
      <c r="K13" s="30" t="s">
        <v>433</v>
      </c>
    </row>
    <row r="14" spans="3:11" ht="16.5" thickBot="1" x14ac:dyDescent="0.3">
      <c r="C14" s="34">
        <v>1</v>
      </c>
      <c r="D14" s="36">
        <v>4</v>
      </c>
      <c r="E14" s="35">
        <v>5</v>
      </c>
      <c r="F14" s="35">
        <v>8</v>
      </c>
      <c r="G14" s="35">
        <v>11</v>
      </c>
      <c r="H14" s="35">
        <v>12</v>
      </c>
      <c r="I14" s="35">
        <v>20</v>
      </c>
      <c r="J14" s="35">
        <v>21</v>
      </c>
      <c r="K14" s="35">
        <v>22</v>
      </c>
    </row>
    <row r="15" spans="3:11" ht="16.5" thickBot="1" x14ac:dyDescent="0.3">
      <c r="C15" s="191" t="s">
        <v>25</v>
      </c>
      <c r="D15" s="192"/>
      <c r="E15" s="192"/>
      <c r="F15" s="192"/>
      <c r="G15" s="192"/>
      <c r="H15" s="192"/>
      <c r="I15" s="192"/>
      <c r="J15" s="192"/>
      <c r="K15" s="192"/>
    </row>
    <row r="16" spans="3:11" ht="42.75" thickBot="1" x14ac:dyDescent="0.3">
      <c r="C16" s="22" t="s">
        <v>45</v>
      </c>
      <c r="D16" s="56" t="s">
        <v>359</v>
      </c>
      <c r="E16" s="54" t="s">
        <v>360</v>
      </c>
      <c r="F16" s="22">
        <v>100</v>
      </c>
      <c r="G16" s="22" t="s">
        <v>426</v>
      </c>
      <c r="H16" s="22" t="s">
        <v>399</v>
      </c>
      <c r="I16" s="58">
        <f>23000+950*12+20000*12</f>
        <v>274400</v>
      </c>
      <c r="J16" s="26"/>
      <c r="K16" s="22"/>
    </row>
    <row r="17" spans="3:11" ht="42.75" thickBot="1" x14ac:dyDescent="0.3">
      <c r="C17" s="22" t="s">
        <v>45</v>
      </c>
      <c r="D17" s="56" t="s">
        <v>359</v>
      </c>
      <c r="E17" s="54" t="s">
        <v>360</v>
      </c>
      <c r="F17" s="22">
        <v>100</v>
      </c>
      <c r="G17" s="22" t="s">
        <v>354</v>
      </c>
      <c r="H17" s="22" t="s">
        <v>401</v>
      </c>
      <c r="I17" s="58">
        <f>5000*12+950*12</f>
        <v>71400</v>
      </c>
      <c r="J17" s="26"/>
      <c r="K17" s="22"/>
    </row>
    <row r="18" spans="3:11" ht="18.75" x14ac:dyDescent="0.25">
      <c r="I18" s="107">
        <f>SUM(I16:I17)</f>
        <v>345800</v>
      </c>
      <c r="J18" s="107">
        <v>1015000</v>
      </c>
    </row>
    <row r="20" spans="3:11" x14ac:dyDescent="0.25">
      <c r="I20" s="64"/>
    </row>
    <row r="21" spans="3:11" x14ac:dyDescent="0.25">
      <c r="E21" s="64"/>
    </row>
    <row r="27" spans="3:11" x14ac:dyDescent="0.25">
      <c r="D27" s="62"/>
    </row>
    <row r="28" spans="3:11" x14ac:dyDescent="0.25">
      <c r="D28" s="62"/>
    </row>
  </sheetData>
  <mergeCells count="3">
    <mergeCell ref="C4:K4"/>
    <mergeCell ref="I6:K6"/>
    <mergeCell ref="C15:K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59"/>
  <sheetViews>
    <sheetView topLeftCell="A7" workbookViewId="0">
      <selection activeCell="F21" sqref="F21"/>
    </sheetView>
  </sheetViews>
  <sheetFormatPr defaultRowHeight="15" x14ac:dyDescent="0.25"/>
  <cols>
    <col min="3" max="3" width="7.42578125" style="21" customWidth="1"/>
    <col min="4" max="4" width="27.28515625" style="21" customWidth="1"/>
    <col min="5" max="5" width="34.140625" style="21" customWidth="1"/>
    <col min="6" max="6" width="17" style="21" customWidth="1"/>
    <col min="7" max="7" width="19.5703125" style="21" customWidth="1"/>
    <col min="8" max="8" width="26.28515625" style="21" customWidth="1"/>
    <col min="9" max="9" width="20.28515625" style="21" customWidth="1"/>
    <col min="10" max="10" width="20" style="21" customWidth="1"/>
    <col min="11" max="11" width="11" style="21" customWidth="1"/>
    <col min="12" max="12" width="10" style="21" customWidth="1"/>
  </cols>
  <sheetData>
    <row r="1" spans="3:12" ht="15.75" thickBot="1" x14ac:dyDescent="0.3">
      <c r="D1" s="64"/>
      <c r="E1" s="64"/>
      <c r="F1" s="64"/>
      <c r="G1" s="64"/>
      <c r="H1" s="64"/>
      <c r="J1" s="64"/>
      <c r="K1" s="64"/>
      <c r="L1" s="64"/>
    </row>
    <row r="2" spans="3:12" ht="15.75" thickBot="1" x14ac:dyDescent="0.3">
      <c r="D2" s="60"/>
      <c r="E2" s="60"/>
      <c r="F2" s="60"/>
      <c r="G2" s="60"/>
      <c r="H2" s="60"/>
      <c r="J2" s="64"/>
      <c r="K2" s="64"/>
      <c r="L2" s="64"/>
    </row>
    <row r="3" spans="3:12" x14ac:dyDescent="0.25">
      <c r="J3" s="64"/>
      <c r="K3" s="64"/>
      <c r="L3" s="64"/>
    </row>
    <row r="4" spans="3:12" x14ac:dyDescent="0.25">
      <c r="C4" s="175" t="s">
        <v>66</v>
      </c>
      <c r="D4" s="175"/>
      <c r="E4" s="175"/>
      <c r="F4" s="175"/>
      <c r="G4" s="175"/>
      <c r="H4" s="175"/>
      <c r="I4" s="175"/>
      <c r="J4" s="175"/>
      <c r="K4" s="175"/>
      <c r="L4" s="175"/>
    </row>
    <row r="5" spans="3:12" x14ac:dyDescent="0.25">
      <c r="D5" s="6"/>
      <c r="E5" s="6"/>
      <c r="F5" s="6"/>
      <c r="G5" s="6"/>
      <c r="H5" s="6"/>
      <c r="I5" s="6"/>
      <c r="J5" s="6"/>
      <c r="K5" s="10"/>
      <c r="L5" s="10"/>
    </row>
    <row r="6" spans="3:12" x14ac:dyDescent="0.25">
      <c r="G6" s="64"/>
      <c r="H6" s="64"/>
      <c r="I6" s="171" t="s">
        <v>67</v>
      </c>
      <c r="J6" s="171"/>
      <c r="K6" s="171"/>
      <c r="L6" s="171"/>
    </row>
    <row r="7" spans="3:12" x14ac:dyDescent="0.25">
      <c r="G7" s="64"/>
      <c r="H7" s="64"/>
      <c r="I7" s="6"/>
      <c r="J7" s="6"/>
      <c r="K7" s="10"/>
      <c r="L7" s="10"/>
    </row>
    <row r="8" spans="3:12" x14ac:dyDescent="0.25"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3:12" x14ac:dyDescent="0.25">
      <c r="E9" s="13"/>
      <c r="G9" s="64"/>
      <c r="H9" s="64"/>
      <c r="I9" s="6"/>
      <c r="J9" s="6"/>
      <c r="K9" s="10"/>
      <c r="L9" s="10"/>
    </row>
    <row r="11" spans="3:12" x14ac:dyDescent="0.25">
      <c r="C11" s="64"/>
    </row>
    <row r="12" spans="3:12" ht="15.75" thickBot="1" x14ac:dyDescent="0.3">
      <c r="D12" s="64"/>
      <c r="E12" s="64"/>
      <c r="F12" s="64"/>
      <c r="G12" s="64"/>
      <c r="H12" s="64"/>
      <c r="I12" s="64"/>
      <c r="J12" s="64"/>
      <c r="K12" s="64"/>
      <c r="L12" s="64"/>
    </row>
    <row r="13" spans="3:12" ht="94.5" x14ac:dyDescent="0.25">
      <c r="C13" s="29" t="s">
        <v>1</v>
      </c>
      <c r="D13" s="31" t="s">
        <v>4</v>
      </c>
      <c r="E13" s="30" t="s">
        <v>5</v>
      </c>
      <c r="F13" s="30" t="s">
        <v>8</v>
      </c>
      <c r="G13" s="30" t="s">
        <v>11</v>
      </c>
      <c r="H13" s="30" t="s">
        <v>12</v>
      </c>
      <c r="I13" s="30" t="s">
        <v>20</v>
      </c>
      <c r="J13" s="30" t="s">
        <v>21</v>
      </c>
      <c r="K13" s="30" t="s">
        <v>432</v>
      </c>
      <c r="L13" s="30" t="s">
        <v>433</v>
      </c>
    </row>
    <row r="14" spans="3:12" ht="16.5" thickBot="1" x14ac:dyDescent="0.3">
      <c r="C14" s="34">
        <v>1</v>
      </c>
      <c r="D14" s="36">
        <v>4</v>
      </c>
      <c r="E14" s="35">
        <v>5</v>
      </c>
      <c r="F14" s="35">
        <v>8</v>
      </c>
      <c r="G14" s="35">
        <v>11</v>
      </c>
      <c r="H14" s="35">
        <v>12</v>
      </c>
      <c r="I14" s="35">
        <v>20</v>
      </c>
      <c r="J14" s="35">
        <v>21</v>
      </c>
      <c r="K14" s="35">
        <v>22</v>
      </c>
      <c r="L14" s="35">
        <v>23</v>
      </c>
    </row>
    <row r="15" spans="3:12" ht="16.5" thickBot="1" x14ac:dyDescent="0.3">
      <c r="C15" s="191" t="s">
        <v>25</v>
      </c>
      <c r="D15" s="192"/>
      <c r="E15" s="192"/>
      <c r="F15" s="192"/>
      <c r="G15" s="192"/>
      <c r="H15" s="192"/>
      <c r="I15" s="192"/>
      <c r="J15" s="192"/>
      <c r="K15" s="192"/>
      <c r="L15" s="192"/>
    </row>
    <row r="16" spans="3:12" ht="42.75" thickBot="1" x14ac:dyDescent="0.3">
      <c r="C16" s="22" t="s">
        <v>45</v>
      </c>
      <c r="D16" s="56" t="s">
        <v>359</v>
      </c>
      <c r="E16" s="54" t="s">
        <v>360</v>
      </c>
      <c r="F16" s="22">
        <v>100</v>
      </c>
      <c r="G16" s="22" t="s">
        <v>426</v>
      </c>
      <c r="H16" s="22" t="s">
        <v>399</v>
      </c>
      <c r="I16" s="58">
        <f>23000+950*12+20000*12</f>
        <v>274400</v>
      </c>
      <c r="J16" s="26">
        <f t="shared" ref="J16:J45" si="0">I16*1.12</f>
        <v>307328.00000000006</v>
      </c>
      <c r="K16" s="22"/>
      <c r="L16" s="22"/>
    </row>
    <row r="17" spans="3:12" ht="42.75" thickBot="1" x14ac:dyDescent="0.3">
      <c r="C17" s="22" t="s">
        <v>45</v>
      </c>
      <c r="D17" s="56" t="s">
        <v>359</v>
      </c>
      <c r="E17" s="54" t="s">
        <v>360</v>
      </c>
      <c r="F17" s="22">
        <v>100</v>
      </c>
      <c r="G17" s="22" t="s">
        <v>354</v>
      </c>
      <c r="H17" s="22" t="s">
        <v>401</v>
      </c>
      <c r="I17" s="58">
        <f>5000*12+950*12</f>
        <v>71400</v>
      </c>
      <c r="J17" s="26">
        <f t="shared" si="0"/>
        <v>79968.000000000015</v>
      </c>
      <c r="K17" s="22"/>
      <c r="L17" s="22"/>
    </row>
    <row r="18" spans="3:12" ht="42.75" thickBot="1" x14ac:dyDescent="0.3">
      <c r="C18" s="22" t="s">
        <v>45</v>
      </c>
      <c r="D18" s="53" t="s">
        <v>373</v>
      </c>
      <c r="E18" s="54" t="s">
        <v>374</v>
      </c>
      <c r="F18" s="22">
        <v>100</v>
      </c>
      <c r="G18" s="22" t="s">
        <v>72</v>
      </c>
      <c r="H18" s="22" t="s">
        <v>399</v>
      </c>
      <c r="I18" s="26">
        <f>106600</f>
        <v>106600</v>
      </c>
      <c r="J18" s="26">
        <f t="shared" si="0"/>
        <v>119392.00000000001</v>
      </c>
      <c r="K18" s="22"/>
      <c r="L18" s="22"/>
    </row>
    <row r="19" spans="3:12" ht="42.75" thickBot="1" x14ac:dyDescent="0.3">
      <c r="C19" s="22" t="s">
        <v>45</v>
      </c>
      <c r="D19" s="53" t="s">
        <v>376</v>
      </c>
      <c r="E19" s="54" t="s">
        <v>377</v>
      </c>
      <c r="F19" s="22">
        <v>100</v>
      </c>
      <c r="G19" s="22" t="s">
        <v>379</v>
      </c>
      <c r="H19" s="22" t="s">
        <v>399</v>
      </c>
      <c r="I19" s="26">
        <v>100000</v>
      </c>
      <c r="J19" s="26">
        <f t="shared" si="0"/>
        <v>112000.00000000001</v>
      </c>
      <c r="K19" s="22"/>
      <c r="L19" s="22"/>
    </row>
    <row r="20" spans="3:12" ht="32.25" thickBot="1" x14ac:dyDescent="0.3">
      <c r="C20" s="22" t="s">
        <v>45</v>
      </c>
      <c r="D20" s="53" t="s">
        <v>380</v>
      </c>
      <c r="E20" s="54" t="s">
        <v>380</v>
      </c>
      <c r="F20" s="22">
        <v>100</v>
      </c>
      <c r="G20" s="22" t="s">
        <v>379</v>
      </c>
      <c r="H20" s="22" t="s">
        <v>399</v>
      </c>
      <c r="I20" s="26">
        <v>100000</v>
      </c>
      <c r="J20" s="26">
        <f t="shared" si="0"/>
        <v>112000.00000000001</v>
      </c>
      <c r="K20" s="22"/>
      <c r="L20" s="22"/>
    </row>
    <row r="21" spans="3:12" ht="63.75" thickBot="1" x14ac:dyDescent="0.3">
      <c r="C21" s="22" t="s">
        <v>45</v>
      </c>
      <c r="D21" s="53" t="s">
        <v>382</v>
      </c>
      <c r="E21" s="54" t="s">
        <v>383</v>
      </c>
      <c r="F21" s="22">
        <v>100</v>
      </c>
      <c r="G21" s="22" t="s">
        <v>365</v>
      </c>
      <c r="H21" s="22" t="s">
        <v>399</v>
      </c>
      <c r="I21" s="26">
        <v>8000</v>
      </c>
      <c r="J21" s="26">
        <f t="shared" si="0"/>
        <v>8960</v>
      </c>
      <c r="K21" s="22"/>
      <c r="L21" s="22"/>
    </row>
    <row r="22" spans="3:12" ht="21.75" thickBot="1" x14ac:dyDescent="0.3">
      <c r="C22" s="22" t="s">
        <v>45</v>
      </c>
      <c r="D22" s="53" t="s">
        <v>385</v>
      </c>
      <c r="E22" s="54" t="s">
        <v>385</v>
      </c>
      <c r="F22" s="22">
        <v>0</v>
      </c>
      <c r="G22" s="22" t="s">
        <v>387</v>
      </c>
      <c r="H22" s="22" t="s">
        <v>399</v>
      </c>
      <c r="I22" s="26">
        <v>65000</v>
      </c>
      <c r="J22" s="26">
        <f t="shared" si="0"/>
        <v>72800</v>
      </c>
      <c r="K22" s="22"/>
      <c r="L22" s="22"/>
    </row>
    <row r="23" spans="3:12" ht="42.75" thickBot="1" x14ac:dyDescent="0.3">
      <c r="C23" s="22" t="s">
        <v>45</v>
      </c>
      <c r="D23" s="53" t="s">
        <v>389</v>
      </c>
      <c r="E23" s="54" t="s">
        <v>389</v>
      </c>
      <c r="F23" s="22">
        <v>100</v>
      </c>
      <c r="G23" s="22" t="s">
        <v>391</v>
      </c>
      <c r="H23" s="22" t="s">
        <v>399</v>
      </c>
      <c r="I23" s="26">
        <v>257000</v>
      </c>
      <c r="J23" s="26">
        <f t="shared" si="0"/>
        <v>287840</v>
      </c>
      <c r="K23" s="22"/>
      <c r="L23" s="22"/>
    </row>
    <row r="24" spans="3:12" ht="32.25" thickBot="1" x14ac:dyDescent="0.3">
      <c r="C24" s="22" t="s">
        <v>45</v>
      </c>
      <c r="D24" s="53" t="s">
        <v>393</v>
      </c>
      <c r="E24" s="54" t="s">
        <v>394</v>
      </c>
      <c r="F24" s="22">
        <v>100</v>
      </c>
      <c r="G24" s="22" t="s">
        <v>429</v>
      </c>
      <c r="H24" s="22" t="s">
        <v>399</v>
      </c>
      <c r="I24" s="26">
        <v>50000</v>
      </c>
      <c r="J24" s="26">
        <f t="shared" si="0"/>
        <v>56000.000000000007</v>
      </c>
      <c r="K24" s="22"/>
      <c r="L24" s="22"/>
    </row>
    <row r="25" spans="3:12" ht="42.75" thickBot="1" x14ac:dyDescent="0.3">
      <c r="C25" s="22" t="s">
        <v>45</v>
      </c>
      <c r="D25" s="53" t="s">
        <v>396</v>
      </c>
      <c r="E25" s="54" t="s">
        <v>397</v>
      </c>
      <c r="F25" s="22">
        <v>100</v>
      </c>
      <c r="G25" s="22" t="s">
        <v>430</v>
      </c>
      <c r="H25" s="22" t="s">
        <v>399</v>
      </c>
      <c r="I25" s="26">
        <f>75000/1.12</f>
        <v>66964.28571428571</v>
      </c>
      <c r="J25" s="26">
        <f t="shared" si="0"/>
        <v>75000</v>
      </c>
      <c r="K25" s="22"/>
      <c r="L25" s="22"/>
    </row>
    <row r="26" spans="3:12" ht="42.75" thickBot="1" x14ac:dyDescent="0.3">
      <c r="C26" s="22" t="s">
        <v>45</v>
      </c>
      <c r="D26" s="53" t="s">
        <v>396</v>
      </c>
      <c r="E26" s="54" t="s">
        <v>397</v>
      </c>
      <c r="F26" s="22">
        <v>100</v>
      </c>
      <c r="G26" s="22" t="s">
        <v>430</v>
      </c>
      <c r="H26" s="22" t="s">
        <v>399</v>
      </c>
      <c r="I26" s="26">
        <f>14700+16000</f>
        <v>30700</v>
      </c>
      <c r="J26" s="26">
        <f t="shared" si="0"/>
        <v>34384</v>
      </c>
      <c r="K26" s="22"/>
      <c r="L26" s="22"/>
    </row>
    <row r="27" spans="3:12" ht="42.75" thickBot="1" x14ac:dyDescent="0.3">
      <c r="C27" s="22" t="s">
        <v>45</v>
      </c>
      <c r="D27" s="53" t="s">
        <v>396</v>
      </c>
      <c r="E27" s="54" t="s">
        <v>397</v>
      </c>
      <c r="F27" s="22">
        <v>100</v>
      </c>
      <c r="G27" s="22" t="s">
        <v>430</v>
      </c>
      <c r="H27" s="22" t="s">
        <v>403</v>
      </c>
      <c r="I27" s="26">
        <v>14700</v>
      </c>
      <c r="J27" s="26">
        <f t="shared" si="0"/>
        <v>16464</v>
      </c>
      <c r="K27" s="22"/>
      <c r="L27" s="22"/>
    </row>
    <row r="28" spans="3:12" ht="42.75" thickBot="1" x14ac:dyDescent="0.3">
      <c r="C28" s="22" t="s">
        <v>45</v>
      </c>
      <c r="D28" s="53" t="s">
        <v>396</v>
      </c>
      <c r="E28" s="54" t="s">
        <v>397</v>
      </c>
      <c r="F28" s="22">
        <v>100</v>
      </c>
      <c r="G28" s="22" t="s">
        <v>430</v>
      </c>
      <c r="H28" s="22" t="s">
        <v>401</v>
      </c>
      <c r="I28" s="26">
        <f>14700*2</f>
        <v>29400</v>
      </c>
      <c r="J28" s="26">
        <f t="shared" si="0"/>
        <v>32928</v>
      </c>
      <c r="K28" s="22"/>
      <c r="L28" s="22"/>
    </row>
    <row r="29" spans="3:12" ht="42.75" thickBot="1" x14ac:dyDescent="0.3">
      <c r="C29" s="22" t="s">
        <v>45</v>
      </c>
      <c r="D29" s="53" t="s">
        <v>396</v>
      </c>
      <c r="E29" s="54" t="s">
        <v>397</v>
      </c>
      <c r="F29" s="22">
        <v>100</v>
      </c>
      <c r="G29" s="22" t="s">
        <v>430</v>
      </c>
      <c r="H29" s="22" t="s">
        <v>402</v>
      </c>
      <c r="I29" s="26">
        <v>14700</v>
      </c>
      <c r="J29" s="26">
        <f t="shared" si="0"/>
        <v>16464</v>
      </c>
      <c r="K29" s="22"/>
      <c r="L29" s="22"/>
    </row>
    <row r="30" spans="3:12" ht="42.75" thickBot="1" x14ac:dyDescent="0.3">
      <c r="C30" s="22" t="s">
        <v>45</v>
      </c>
      <c r="D30" s="53" t="s">
        <v>396</v>
      </c>
      <c r="E30" s="54" t="s">
        <v>397</v>
      </c>
      <c r="F30" s="22">
        <v>100</v>
      </c>
      <c r="G30" s="22" t="s">
        <v>430</v>
      </c>
      <c r="H30" s="22" t="s">
        <v>400</v>
      </c>
      <c r="I30" s="26">
        <f>14700*2</f>
        <v>29400</v>
      </c>
      <c r="J30" s="26">
        <f t="shared" si="0"/>
        <v>32928</v>
      </c>
      <c r="K30" s="22"/>
      <c r="L30" s="22"/>
    </row>
    <row r="31" spans="3:12" ht="42.75" thickBot="1" x14ac:dyDescent="0.3">
      <c r="C31" s="22" t="s">
        <v>45</v>
      </c>
      <c r="D31" s="53" t="s">
        <v>396</v>
      </c>
      <c r="E31" s="54" t="s">
        <v>397</v>
      </c>
      <c r="F31" s="22">
        <v>100</v>
      </c>
      <c r="G31" s="22" t="s">
        <v>430</v>
      </c>
      <c r="H31" s="22" t="s">
        <v>404</v>
      </c>
      <c r="I31" s="26">
        <f>14700*2</f>
        <v>29400</v>
      </c>
      <c r="J31" s="26">
        <f t="shared" si="0"/>
        <v>32928</v>
      </c>
      <c r="K31" s="22"/>
      <c r="L31" s="22"/>
    </row>
    <row r="32" spans="3:12" ht="42.75" thickBot="1" x14ac:dyDescent="0.3">
      <c r="C32" s="22" t="s">
        <v>45</v>
      </c>
      <c r="D32" s="53" t="s">
        <v>396</v>
      </c>
      <c r="E32" s="54" t="s">
        <v>397</v>
      </c>
      <c r="F32" s="22">
        <v>100</v>
      </c>
      <c r="G32" s="22" t="s">
        <v>430</v>
      </c>
      <c r="H32" s="22" t="s">
        <v>405</v>
      </c>
      <c r="I32" s="26">
        <v>14700</v>
      </c>
      <c r="J32" s="26">
        <f t="shared" si="0"/>
        <v>16464</v>
      </c>
      <c r="K32" s="22"/>
      <c r="L32" s="22"/>
    </row>
    <row r="33" spans="3:12" ht="42.75" thickBot="1" x14ac:dyDescent="0.3">
      <c r="C33" s="22" t="s">
        <v>45</v>
      </c>
      <c r="D33" s="53" t="s">
        <v>396</v>
      </c>
      <c r="E33" s="54" t="s">
        <v>397</v>
      </c>
      <c r="F33" s="22">
        <v>100</v>
      </c>
      <c r="G33" s="22" t="s">
        <v>430</v>
      </c>
      <c r="H33" s="22" t="s">
        <v>406</v>
      </c>
      <c r="I33" s="26">
        <v>14700</v>
      </c>
      <c r="J33" s="26">
        <f t="shared" si="0"/>
        <v>16464</v>
      </c>
      <c r="K33" s="22"/>
      <c r="L33" s="22"/>
    </row>
    <row r="34" spans="3:12" ht="42.75" thickBot="1" x14ac:dyDescent="0.3">
      <c r="C34" s="22" t="s">
        <v>45</v>
      </c>
      <c r="D34" s="53" t="s">
        <v>396</v>
      </c>
      <c r="E34" s="54" t="s">
        <v>397</v>
      </c>
      <c r="F34" s="22">
        <v>100</v>
      </c>
      <c r="G34" s="22" t="s">
        <v>430</v>
      </c>
      <c r="H34" s="22" t="s">
        <v>407</v>
      </c>
      <c r="I34" s="26">
        <v>14700</v>
      </c>
      <c r="J34" s="26">
        <f t="shared" si="0"/>
        <v>16464</v>
      </c>
      <c r="K34" s="22"/>
      <c r="L34" s="22"/>
    </row>
    <row r="35" spans="3:12" ht="42.75" thickBot="1" x14ac:dyDescent="0.3">
      <c r="C35" s="22" t="s">
        <v>45</v>
      </c>
      <c r="D35" s="53" t="s">
        <v>396</v>
      </c>
      <c r="E35" s="54" t="s">
        <v>397</v>
      </c>
      <c r="F35" s="22">
        <v>100</v>
      </c>
      <c r="G35" s="22" t="s">
        <v>430</v>
      </c>
      <c r="H35" s="22" t="s">
        <v>358</v>
      </c>
      <c r="I35" s="26">
        <v>14700</v>
      </c>
      <c r="J35" s="26">
        <f t="shared" si="0"/>
        <v>16464</v>
      </c>
      <c r="K35" s="22"/>
      <c r="L35" s="22"/>
    </row>
    <row r="36" spans="3:12" ht="42.75" thickBot="1" x14ac:dyDescent="0.3">
      <c r="C36" s="22" t="s">
        <v>45</v>
      </c>
      <c r="D36" s="56" t="s">
        <v>408</v>
      </c>
      <c r="E36" s="57" t="s">
        <v>409</v>
      </c>
      <c r="F36" s="22">
        <v>100</v>
      </c>
      <c r="G36" s="22" t="s">
        <v>411</v>
      </c>
      <c r="H36" s="22" t="s">
        <v>399</v>
      </c>
      <c r="I36" s="58">
        <v>21500</v>
      </c>
      <c r="J36" s="26">
        <f t="shared" si="0"/>
        <v>24080.000000000004</v>
      </c>
      <c r="K36" s="22"/>
      <c r="L36" s="22"/>
    </row>
    <row r="37" spans="3:12" ht="16.5" thickBot="1" x14ac:dyDescent="0.3">
      <c r="C37" s="22" t="s">
        <v>45</v>
      </c>
      <c r="D37" s="53" t="s">
        <v>412</v>
      </c>
      <c r="E37" s="54" t="s">
        <v>412</v>
      </c>
      <c r="F37" s="22">
        <v>100</v>
      </c>
      <c r="G37" s="22" t="s">
        <v>414</v>
      </c>
      <c r="H37" s="22" t="s">
        <v>399</v>
      </c>
      <c r="I37" s="59">
        <v>62000</v>
      </c>
      <c r="J37" s="59">
        <f t="shared" si="0"/>
        <v>69440</v>
      </c>
      <c r="K37" s="22"/>
      <c r="L37" s="22"/>
    </row>
    <row r="38" spans="3:12" ht="21.75" thickBot="1" x14ac:dyDescent="0.3">
      <c r="C38" s="22" t="s">
        <v>45</v>
      </c>
      <c r="D38" s="56" t="s">
        <v>415</v>
      </c>
      <c r="E38" s="57" t="s">
        <v>415</v>
      </c>
      <c r="F38" s="22">
        <v>100</v>
      </c>
      <c r="G38" s="22" t="s">
        <v>414</v>
      </c>
      <c r="H38" s="22" t="s">
        <v>399</v>
      </c>
      <c r="I38" s="58"/>
      <c r="J38" s="26">
        <f t="shared" si="0"/>
        <v>0</v>
      </c>
      <c r="K38" s="22"/>
      <c r="L38" s="22"/>
    </row>
    <row r="39" spans="3:12" ht="16.5" thickBot="1" x14ac:dyDescent="0.3">
      <c r="C39" s="22" t="s">
        <v>45</v>
      </c>
      <c r="D39" s="53" t="s">
        <v>431</v>
      </c>
      <c r="E39" s="54" t="s">
        <v>431</v>
      </c>
      <c r="F39" s="22">
        <v>100</v>
      </c>
      <c r="G39" s="22" t="s">
        <v>414</v>
      </c>
      <c r="H39" s="22" t="s">
        <v>403</v>
      </c>
      <c r="I39" s="58">
        <v>4323060</v>
      </c>
      <c r="J39" s="26">
        <f t="shared" si="0"/>
        <v>4841827.2</v>
      </c>
      <c r="K39" s="22"/>
      <c r="L39" s="22"/>
    </row>
    <row r="40" spans="3:12" ht="16.5" thickBot="1" x14ac:dyDescent="0.3">
      <c r="C40" s="22" t="s">
        <v>45</v>
      </c>
      <c r="D40" s="53" t="s">
        <v>431</v>
      </c>
      <c r="E40" s="54" t="s">
        <v>431</v>
      </c>
      <c r="F40" s="22">
        <v>100</v>
      </c>
      <c r="G40" s="22" t="s">
        <v>414</v>
      </c>
      <c r="H40" s="22" t="s">
        <v>401</v>
      </c>
      <c r="I40" s="58">
        <v>4323060</v>
      </c>
      <c r="J40" s="26">
        <f t="shared" si="0"/>
        <v>4841827.2</v>
      </c>
      <c r="K40" s="22"/>
      <c r="L40" s="22"/>
    </row>
    <row r="41" spans="3:12" ht="32.25" thickBot="1" x14ac:dyDescent="0.3">
      <c r="C41" s="22" t="s">
        <v>45</v>
      </c>
      <c r="D41" s="53" t="s">
        <v>431</v>
      </c>
      <c r="E41" s="54" t="s">
        <v>431</v>
      </c>
      <c r="F41" s="22">
        <v>100</v>
      </c>
      <c r="G41" s="22" t="s">
        <v>72</v>
      </c>
      <c r="H41" s="22" t="s">
        <v>400</v>
      </c>
      <c r="I41" s="58">
        <v>4323060</v>
      </c>
      <c r="J41" s="26">
        <f t="shared" si="0"/>
        <v>4841827.2</v>
      </c>
      <c r="K41" s="22"/>
      <c r="L41" s="22"/>
    </row>
    <row r="42" spans="3:12" ht="53.25" thickBot="1" x14ac:dyDescent="0.3">
      <c r="C42" s="22" t="s">
        <v>45</v>
      </c>
      <c r="D42" s="56" t="s">
        <v>416</v>
      </c>
      <c r="E42" s="57" t="s">
        <v>417</v>
      </c>
      <c r="F42" s="22">
        <v>100</v>
      </c>
      <c r="G42" s="22" t="s">
        <v>72</v>
      </c>
      <c r="H42" s="22" t="s">
        <v>399</v>
      </c>
      <c r="I42" s="58">
        <v>206615</v>
      </c>
      <c r="J42" s="26">
        <f t="shared" si="0"/>
        <v>231408.80000000002</v>
      </c>
      <c r="K42" s="22"/>
      <c r="L42" s="22"/>
    </row>
    <row r="43" spans="3:12" ht="32.25" thickBot="1" x14ac:dyDescent="0.3">
      <c r="C43" s="22" t="s">
        <v>45</v>
      </c>
      <c r="D43" s="53" t="s">
        <v>419</v>
      </c>
      <c r="E43" s="54" t="s">
        <v>419</v>
      </c>
      <c r="F43" s="22">
        <v>100</v>
      </c>
      <c r="G43" s="22" t="s">
        <v>414</v>
      </c>
      <c r="H43" s="22" t="s">
        <v>399</v>
      </c>
      <c r="I43" s="59">
        <f>25856*12</f>
        <v>310272</v>
      </c>
      <c r="J43" s="59">
        <f t="shared" si="0"/>
        <v>347504.64000000001</v>
      </c>
      <c r="K43" s="22"/>
      <c r="L43" s="22"/>
    </row>
    <row r="44" spans="3:12" ht="21.75" thickBot="1" x14ac:dyDescent="0.3">
      <c r="C44" s="22" t="s">
        <v>45</v>
      </c>
      <c r="D44" s="53" t="s">
        <v>422</v>
      </c>
      <c r="E44" s="54" t="s">
        <v>422</v>
      </c>
      <c r="F44" s="22">
        <v>100</v>
      </c>
      <c r="G44" s="22" t="s">
        <v>414</v>
      </c>
      <c r="H44" s="22" t="s">
        <v>401</v>
      </c>
      <c r="I44" s="59">
        <v>756900</v>
      </c>
      <c r="J44" s="59">
        <f t="shared" si="0"/>
        <v>847728.00000000012</v>
      </c>
      <c r="K44" s="22"/>
      <c r="L44" s="22"/>
    </row>
    <row r="45" spans="3:12" ht="21.75" thickBot="1" x14ac:dyDescent="0.3">
      <c r="C45" s="22" t="s">
        <v>45</v>
      </c>
      <c r="D45" s="56" t="s">
        <v>424</v>
      </c>
      <c r="E45" s="57" t="s">
        <v>424</v>
      </c>
      <c r="F45" s="22">
        <v>100</v>
      </c>
      <c r="G45" s="22"/>
      <c r="H45" s="22" t="s">
        <v>401</v>
      </c>
      <c r="I45" s="59">
        <v>265000</v>
      </c>
      <c r="J45" s="59">
        <f t="shared" si="0"/>
        <v>296800</v>
      </c>
      <c r="K45" s="22"/>
      <c r="L45" s="22"/>
    </row>
    <row r="47" spans="3:12" ht="18.75" x14ac:dyDescent="0.25">
      <c r="D47" s="61"/>
    </row>
    <row r="48" spans="3:12" ht="18.75" x14ac:dyDescent="0.25">
      <c r="C48" s="18"/>
      <c r="D48" s="61"/>
      <c r="E48" s="18"/>
      <c r="F48" s="18"/>
      <c r="G48" s="18"/>
      <c r="H48" s="18"/>
      <c r="I48" s="18"/>
      <c r="J48" s="179" t="s">
        <v>65</v>
      </c>
      <c r="K48" s="179"/>
      <c r="L48" s="179"/>
    </row>
    <row r="51" spans="4:9" x14ac:dyDescent="0.25">
      <c r="I51" s="64"/>
    </row>
    <row r="52" spans="4:9" x14ac:dyDescent="0.25">
      <c r="E52" s="64"/>
    </row>
    <row r="58" spans="4:9" x14ac:dyDescent="0.25">
      <c r="D58" s="62"/>
    </row>
    <row r="59" spans="4:9" x14ac:dyDescent="0.25">
      <c r="D59" s="62"/>
    </row>
  </sheetData>
  <mergeCells count="4">
    <mergeCell ref="C4:L4"/>
    <mergeCell ref="I6:L6"/>
    <mergeCell ref="C15:L15"/>
    <mergeCell ref="J48:L4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2" sqref="P3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"/>
  <sheetViews>
    <sheetView workbookViewId="0">
      <selection activeCell="M4" sqref="M4:M7"/>
    </sheetView>
  </sheetViews>
  <sheetFormatPr defaultRowHeight="15" x14ac:dyDescent="0.25"/>
  <cols>
    <col min="3" max="3" width="35.85546875" customWidth="1"/>
    <col min="4" max="4" width="25.5703125" customWidth="1"/>
    <col min="6" max="6" width="11.42578125" bestFit="1" customWidth="1"/>
    <col min="7" max="7" width="19.7109375" customWidth="1"/>
    <col min="8" max="8" width="26.5703125" customWidth="1"/>
    <col min="13" max="13" width="14.85546875" customWidth="1"/>
  </cols>
  <sheetData>
    <row r="2" spans="2:13" ht="15.75" thickBot="1" x14ac:dyDescent="0.3"/>
    <row r="3" spans="2:13" ht="16.5" thickBot="1" x14ac:dyDescent="0.3">
      <c r="B3" s="127" t="s">
        <v>502</v>
      </c>
      <c r="C3" s="127" t="s">
        <v>483</v>
      </c>
      <c r="D3" s="127" t="s">
        <v>503</v>
      </c>
      <c r="F3" s="145" t="s">
        <v>502</v>
      </c>
      <c r="G3" s="146" t="s">
        <v>483</v>
      </c>
      <c r="H3" s="146" t="s">
        <v>503</v>
      </c>
    </row>
    <row r="4" spans="2:13" ht="16.5" thickBot="1" x14ac:dyDescent="0.3">
      <c r="B4" s="183" t="s">
        <v>484</v>
      </c>
      <c r="C4" s="184"/>
      <c r="D4" s="185"/>
      <c r="F4" s="186" t="s">
        <v>484</v>
      </c>
      <c r="G4" s="187"/>
      <c r="H4" s="188"/>
      <c r="M4" s="149">
        <v>714286</v>
      </c>
    </row>
    <row r="5" spans="2:13" ht="16.5" thickBot="1" x14ac:dyDescent="0.3">
      <c r="B5" s="124">
        <v>1</v>
      </c>
      <c r="C5" s="125" t="s">
        <v>485</v>
      </c>
      <c r="D5" s="126">
        <v>297780.53999999998</v>
      </c>
      <c r="F5" s="147">
        <v>1</v>
      </c>
      <c r="G5" s="148" t="s">
        <v>485</v>
      </c>
      <c r="H5" s="149">
        <v>297871</v>
      </c>
      <c r="M5" s="150">
        <v>3031001</v>
      </c>
    </row>
    <row r="6" spans="2:13" ht="16.5" thickBot="1" x14ac:dyDescent="0.3">
      <c r="B6" s="124">
        <v>2</v>
      </c>
      <c r="C6" s="125" t="s">
        <v>486</v>
      </c>
      <c r="D6" s="126">
        <v>11085192</v>
      </c>
      <c r="F6" s="147">
        <v>2</v>
      </c>
      <c r="G6" s="148" t="s">
        <v>486</v>
      </c>
      <c r="H6" s="149">
        <v>11085192</v>
      </c>
      <c r="M6" s="149">
        <v>1200000</v>
      </c>
    </row>
    <row r="7" spans="2:13" ht="32.25" thickBot="1" x14ac:dyDescent="0.3">
      <c r="B7" s="124">
        <v>3</v>
      </c>
      <c r="C7" s="125" t="s">
        <v>487</v>
      </c>
      <c r="D7" s="126">
        <v>165000</v>
      </c>
      <c r="F7" s="147">
        <v>3</v>
      </c>
      <c r="G7" s="148" t="s">
        <v>487</v>
      </c>
      <c r="H7" s="149">
        <v>165000</v>
      </c>
      <c r="M7" s="169">
        <v>500000</v>
      </c>
    </row>
    <row r="8" spans="2:13" ht="16.5" thickBot="1" x14ac:dyDescent="0.3">
      <c r="B8" s="124">
        <v>4</v>
      </c>
      <c r="C8" s="125" t="s">
        <v>488</v>
      </c>
      <c r="D8" s="126">
        <v>385040</v>
      </c>
      <c r="F8" s="147">
        <v>4</v>
      </c>
      <c r="G8" s="148" t="s">
        <v>488</v>
      </c>
      <c r="H8" s="149">
        <v>343678</v>
      </c>
      <c r="M8" s="150">
        <v>2522954</v>
      </c>
    </row>
    <row r="9" spans="2:13" ht="16.5" thickBot="1" x14ac:dyDescent="0.3">
      <c r="B9" s="124">
        <v>5</v>
      </c>
      <c r="C9" s="125" t="s">
        <v>489</v>
      </c>
      <c r="D9" s="126">
        <v>192840</v>
      </c>
      <c r="F9" s="147">
        <v>5</v>
      </c>
      <c r="G9" s="148" t="s">
        <v>489</v>
      </c>
      <c r="H9" s="149">
        <v>160199</v>
      </c>
      <c r="M9" s="149">
        <v>231118</v>
      </c>
    </row>
    <row r="10" spans="2:13" ht="48" thickBot="1" x14ac:dyDescent="0.3">
      <c r="B10" s="124">
        <v>6</v>
      </c>
      <c r="C10" s="125" t="s">
        <v>490</v>
      </c>
      <c r="D10" s="126">
        <v>74000</v>
      </c>
      <c r="F10" s="147">
        <v>6</v>
      </c>
      <c r="G10" s="148" t="s">
        <v>526</v>
      </c>
      <c r="H10" s="150">
        <v>74268</v>
      </c>
      <c r="M10" s="149">
        <v>60000</v>
      </c>
    </row>
    <row r="11" spans="2:13" ht="16.5" thickBot="1" x14ac:dyDescent="0.3">
      <c r="B11" s="124"/>
      <c r="C11" s="127" t="s">
        <v>504</v>
      </c>
      <c r="D11" s="128">
        <f>SUM(D5:D10)</f>
        <v>12199852.539999999</v>
      </c>
      <c r="F11" s="147"/>
      <c r="G11" s="151" t="s">
        <v>504</v>
      </c>
      <c r="H11" s="152" t="s">
        <v>527</v>
      </c>
      <c r="M11" s="149">
        <v>345800</v>
      </c>
    </row>
    <row r="12" spans="2:13" ht="16.5" thickBot="1" x14ac:dyDescent="0.3">
      <c r="B12" s="183" t="s">
        <v>491</v>
      </c>
      <c r="C12" s="184"/>
      <c r="D12" s="185"/>
      <c r="F12" s="186" t="s">
        <v>491</v>
      </c>
      <c r="G12" s="187"/>
      <c r="H12" s="188"/>
      <c r="M12" s="149">
        <v>186700</v>
      </c>
    </row>
    <row r="13" spans="2:13" ht="79.5" thickBot="1" x14ac:dyDescent="0.3">
      <c r="B13" s="124">
        <v>1</v>
      </c>
      <c r="C13" s="125" t="s">
        <v>347</v>
      </c>
      <c r="D13" s="126">
        <v>1250000</v>
      </c>
      <c r="F13" s="147">
        <v>1</v>
      </c>
      <c r="G13" s="148" t="s">
        <v>347</v>
      </c>
      <c r="H13" s="149">
        <v>1250000</v>
      </c>
      <c r="M13" s="149">
        <v>107000</v>
      </c>
    </row>
    <row r="14" spans="2:13" ht="16.5" thickBot="1" x14ac:dyDescent="0.3">
      <c r="B14" s="124"/>
      <c r="C14" s="127" t="s">
        <v>505</v>
      </c>
      <c r="D14" s="128">
        <f>D13</f>
        <v>1250000</v>
      </c>
      <c r="F14" s="147"/>
      <c r="G14" s="151" t="s">
        <v>505</v>
      </c>
      <c r="H14" s="153">
        <v>1250000</v>
      </c>
      <c r="M14" s="149">
        <v>206339</v>
      </c>
    </row>
    <row r="15" spans="2:13" ht="16.5" thickBot="1" x14ac:dyDescent="0.3">
      <c r="B15" s="183" t="s">
        <v>492</v>
      </c>
      <c r="C15" s="184"/>
      <c r="D15" s="185"/>
      <c r="F15" s="186" t="s">
        <v>492</v>
      </c>
      <c r="G15" s="187"/>
      <c r="H15" s="188"/>
      <c r="M15" s="149">
        <v>58000</v>
      </c>
    </row>
    <row r="16" spans="2:13" ht="79.5" thickBot="1" x14ac:dyDescent="0.3">
      <c r="B16" s="124">
        <v>1</v>
      </c>
      <c r="C16" s="125" t="s">
        <v>352</v>
      </c>
      <c r="D16" s="126">
        <v>714285.71</v>
      </c>
      <c r="F16" s="147">
        <v>1</v>
      </c>
      <c r="G16" s="148" t="s">
        <v>352</v>
      </c>
      <c r="H16" s="149">
        <v>714286</v>
      </c>
      <c r="M16" s="149">
        <v>50000</v>
      </c>
    </row>
    <row r="17" spans="2:13" ht="32.25" thickBot="1" x14ac:dyDescent="0.3">
      <c r="B17" s="124">
        <v>2</v>
      </c>
      <c r="C17" s="125" t="s">
        <v>493</v>
      </c>
      <c r="D17" s="126">
        <f>D18+D19</f>
        <v>3340000</v>
      </c>
      <c r="F17" s="180">
        <v>2</v>
      </c>
      <c r="G17" s="154" t="s">
        <v>528</v>
      </c>
      <c r="H17" s="180">
        <v>2379215</v>
      </c>
      <c r="M17" s="149">
        <v>256800</v>
      </c>
    </row>
    <row r="18" spans="2:13" ht="110.25" customHeight="1" thickBot="1" x14ac:dyDescent="0.3">
      <c r="B18" s="124" t="s">
        <v>509</v>
      </c>
      <c r="C18" s="125" t="s">
        <v>439</v>
      </c>
      <c r="D18" s="126">
        <v>2140000</v>
      </c>
      <c r="F18" s="181"/>
      <c r="G18" s="154" t="s">
        <v>529</v>
      </c>
      <c r="H18" s="181"/>
      <c r="M18" s="149">
        <v>157964</v>
      </c>
    </row>
    <row r="19" spans="2:13" ht="94.5" customHeight="1" thickBot="1" x14ac:dyDescent="0.3">
      <c r="B19" s="124" t="s">
        <v>510</v>
      </c>
      <c r="C19" s="125" t="s">
        <v>440</v>
      </c>
      <c r="D19" s="126">
        <v>1200000</v>
      </c>
      <c r="F19" s="182"/>
      <c r="G19" s="148" t="s">
        <v>530</v>
      </c>
      <c r="H19" s="182"/>
      <c r="M19" s="149">
        <v>19415</v>
      </c>
    </row>
    <row r="20" spans="2:13" ht="32.25" thickBot="1" x14ac:dyDescent="0.3">
      <c r="B20" s="124">
        <v>3</v>
      </c>
      <c r="C20" s="125" t="s">
        <v>495</v>
      </c>
      <c r="D20" s="126">
        <v>1200000</v>
      </c>
      <c r="F20" s="147">
        <v>3</v>
      </c>
      <c r="G20" s="148" t="s">
        <v>495</v>
      </c>
      <c r="H20" s="149">
        <v>1200000</v>
      </c>
      <c r="M20" s="149">
        <v>62000</v>
      </c>
    </row>
    <row r="21" spans="2:13" ht="32.25" thickBot="1" x14ac:dyDescent="0.3">
      <c r="B21" s="124">
        <v>4</v>
      </c>
      <c r="C21" s="125" t="s">
        <v>494</v>
      </c>
      <c r="D21" s="126">
        <v>2266114.5699999998</v>
      </c>
      <c r="F21" s="147">
        <v>4</v>
      </c>
      <c r="G21" s="148" t="s">
        <v>371</v>
      </c>
      <c r="H21" s="149">
        <v>500000</v>
      </c>
      <c r="M21" s="149">
        <v>206615</v>
      </c>
    </row>
    <row r="22" spans="2:13" ht="39" customHeight="1" thickBot="1" x14ac:dyDescent="0.3">
      <c r="B22" s="124">
        <v>5</v>
      </c>
      <c r="C22" s="125" t="s">
        <v>369</v>
      </c>
      <c r="D22" s="126">
        <v>231117.86</v>
      </c>
      <c r="F22" s="147">
        <v>5</v>
      </c>
      <c r="G22" s="148" t="s">
        <v>427</v>
      </c>
      <c r="H22" s="149">
        <v>651786</v>
      </c>
      <c r="M22" s="149">
        <v>310272</v>
      </c>
    </row>
    <row r="23" spans="2:13" ht="46.5" customHeight="1" thickBot="1" x14ac:dyDescent="0.3">
      <c r="B23" s="124">
        <v>6</v>
      </c>
      <c r="C23" s="125" t="s">
        <v>441</v>
      </c>
      <c r="D23" s="126">
        <v>60000</v>
      </c>
      <c r="F23" s="147">
        <v>6</v>
      </c>
      <c r="G23" s="148" t="s">
        <v>494</v>
      </c>
      <c r="H23" s="150">
        <v>2804186</v>
      </c>
      <c r="M23" s="149">
        <v>756900</v>
      </c>
    </row>
    <row r="24" spans="2:13" ht="48" thickBot="1" x14ac:dyDescent="0.3">
      <c r="B24" s="124">
        <v>7</v>
      </c>
      <c r="C24" s="124" t="s">
        <v>359</v>
      </c>
      <c r="D24" s="126">
        <v>345800</v>
      </c>
      <c r="F24" s="147">
        <v>7</v>
      </c>
      <c r="G24" s="148" t="s">
        <v>369</v>
      </c>
      <c r="H24" s="149">
        <v>231118</v>
      </c>
      <c r="M24" s="149">
        <v>265000</v>
      </c>
    </row>
    <row r="25" spans="2:13" ht="63.75" thickBot="1" x14ac:dyDescent="0.3">
      <c r="B25" s="124">
        <v>8</v>
      </c>
      <c r="C25" s="125" t="s">
        <v>496</v>
      </c>
      <c r="D25" s="126">
        <v>106600</v>
      </c>
      <c r="F25" s="147">
        <v>8</v>
      </c>
      <c r="G25" s="148" t="s">
        <v>441</v>
      </c>
      <c r="H25" s="149">
        <v>60000</v>
      </c>
    </row>
    <row r="26" spans="2:13" ht="32.25" thickBot="1" x14ac:dyDescent="0.3">
      <c r="B26" s="124">
        <v>9</v>
      </c>
      <c r="C26" s="125" t="s">
        <v>497</v>
      </c>
      <c r="D26" s="126">
        <v>208000</v>
      </c>
      <c r="F26" s="147">
        <v>10</v>
      </c>
      <c r="G26" s="150" t="s">
        <v>359</v>
      </c>
      <c r="H26" s="149">
        <v>345800</v>
      </c>
    </row>
    <row r="27" spans="2:13" ht="32.25" thickBot="1" x14ac:dyDescent="0.3">
      <c r="B27" s="124">
        <v>10</v>
      </c>
      <c r="C27" s="125" t="s">
        <v>498</v>
      </c>
      <c r="D27" s="126">
        <v>65000</v>
      </c>
      <c r="F27" s="147">
        <v>11</v>
      </c>
      <c r="G27" s="150" t="s">
        <v>524</v>
      </c>
      <c r="H27" s="149">
        <v>186700</v>
      </c>
    </row>
    <row r="28" spans="2:13" ht="16.5" thickBot="1" x14ac:dyDescent="0.3">
      <c r="B28" s="124">
        <v>11</v>
      </c>
      <c r="C28" s="125" t="s">
        <v>499</v>
      </c>
      <c r="D28" s="126">
        <v>50000</v>
      </c>
      <c r="F28" s="147">
        <v>12</v>
      </c>
      <c r="G28" s="148" t="s">
        <v>496</v>
      </c>
      <c r="H28" s="150">
        <v>186000</v>
      </c>
    </row>
    <row r="29" spans="2:13" ht="48" thickBot="1" x14ac:dyDescent="0.3">
      <c r="B29" s="124">
        <v>12</v>
      </c>
      <c r="C29" s="125" t="s">
        <v>500</v>
      </c>
      <c r="D29" s="126">
        <v>257000</v>
      </c>
      <c r="F29" s="147">
        <v>13</v>
      </c>
      <c r="G29" s="148" t="s">
        <v>497</v>
      </c>
      <c r="H29" s="149">
        <v>208000</v>
      </c>
    </row>
    <row r="30" spans="2:13" ht="74.25" customHeight="1" thickBot="1" x14ac:dyDescent="0.3">
      <c r="B30" s="124">
        <v>13</v>
      </c>
      <c r="C30" s="125" t="s">
        <v>396</v>
      </c>
      <c r="D30" s="126">
        <v>274064.28999999998</v>
      </c>
      <c r="F30" s="147">
        <v>14</v>
      </c>
      <c r="G30" s="148" t="s">
        <v>498</v>
      </c>
      <c r="H30" s="149">
        <v>65000</v>
      </c>
    </row>
    <row r="31" spans="2:13" ht="70.5" customHeight="1" thickBot="1" x14ac:dyDescent="0.3">
      <c r="B31" s="124">
        <v>14</v>
      </c>
      <c r="C31" s="125" t="s">
        <v>408</v>
      </c>
      <c r="D31" s="126">
        <v>21500</v>
      </c>
      <c r="F31" s="147">
        <v>15</v>
      </c>
      <c r="G31" s="148" t="s">
        <v>499</v>
      </c>
      <c r="H31" s="149">
        <v>50000</v>
      </c>
    </row>
    <row r="32" spans="2:13" ht="16.5" thickBot="1" x14ac:dyDescent="0.3">
      <c r="B32" s="124">
        <v>15</v>
      </c>
      <c r="C32" s="111" t="s">
        <v>412</v>
      </c>
      <c r="D32" s="126">
        <v>62000</v>
      </c>
      <c r="F32" s="147">
        <v>16</v>
      </c>
      <c r="G32" s="148" t="s">
        <v>500</v>
      </c>
      <c r="H32" s="149">
        <v>273000</v>
      </c>
    </row>
    <row r="33" spans="2:8" ht="110.25" customHeight="1" thickBot="1" x14ac:dyDescent="0.3">
      <c r="B33" s="124">
        <v>16</v>
      </c>
      <c r="C33" s="114" t="s">
        <v>417</v>
      </c>
      <c r="D33" s="126">
        <v>206615</v>
      </c>
      <c r="F33" s="147">
        <v>17</v>
      </c>
      <c r="G33" s="148" t="s">
        <v>396</v>
      </c>
      <c r="H33" s="149">
        <v>274064</v>
      </c>
    </row>
    <row r="34" spans="2:8" ht="111" thickBot="1" x14ac:dyDescent="0.3">
      <c r="B34" s="124">
        <v>17</v>
      </c>
      <c r="C34" s="111" t="s">
        <v>419</v>
      </c>
      <c r="D34" s="126">
        <v>310272</v>
      </c>
      <c r="F34" s="147">
        <v>18</v>
      </c>
      <c r="G34" s="148" t="s">
        <v>408</v>
      </c>
      <c r="H34" s="149">
        <v>21500</v>
      </c>
    </row>
    <row r="35" spans="2:8" ht="32.25" thickBot="1" x14ac:dyDescent="0.3">
      <c r="B35" s="124">
        <v>18</v>
      </c>
      <c r="C35" s="111" t="s">
        <v>422</v>
      </c>
      <c r="D35" s="126">
        <v>756900</v>
      </c>
      <c r="F35" s="147">
        <v>19</v>
      </c>
      <c r="G35" s="148" t="s">
        <v>412</v>
      </c>
      <c r="H35" s="149">
        <v>62000</v>
      </c>
    </row>
    <row r="36" spans="2:8" ht="189.75" thickBot="1" x14ac:dyDescent="0.3">
      <c r="B36" s="124">
        <v>19</v>
      </c>
      <c r="C36" s="114" t="s">
        <v>424</v>
      </c>
      <c r="D36" s="126">
        <v>265000</v>
      </c>
      <c r="F36" s="147">
        <v>20</v>
      </c>
      <c r="G36" s="155" t="s">
        <v>417</v>
      </c>
      <c r="H36" s="149">
        <v>206615</v>
      </c>
    </row>
    <row r="37" spans="2:8" ht="79.5" thickBot="1" x14ac:dyDescent="0.3">
      <c r="B37" s="124"/>
      <c r="C37" s="127" t="s">
        <v>506</v>
      </c>
      <c r="D37" s="128">
        <f>SUM(D16:D36)-D18-D19</f>
        <v>10740269.43</v>
      </c>
      <c r="F37" s="147">
        <v>21</v>
      </c>
      <c r="G37" s="148" t="s">
        <v>419</v>
      </c>
      <c r="H37" s="149">
        <v>310272</v>
      </c>
    </row>
    <row r="38" spans="2:8" ht="48" thickBot="1" x14ac:dyDescent="0.3">
      <c r="B38" s="124"/>
      <c r="C38" s="123" t="s">
        <v>501</v>
      </c>
      <c r="D38" s="126">
        <f>D37+D14+D11</f>
        <v>24190121.969999999</v>
      </c>
      <c r="F38" s="147">
        <v>22</v>
      </c>
      <c r="G38" s="148" t="s">
        <v>422</v>
      </c>
      <c r="H38" s="149">
        <v>756900</v>
      </c>
    </row>
    <row r="39" spans="2:8" ht="48" thickBot="1" x14ac:dyDescent="0.3">
      <c r="F39" s="147">
        <v>23</v>
      </c>
      <c r="G39" s="155" t="s">
        <v>424</v>
      </c>
      <c r="H39" s="149">
        <v>265000</v>
      </c>
    </row>
    <row r="40" spans="2:8" ht="16.5" thickBot="1" x14ac:dyDescent="0.3">
      <c r="F40" s="147"/>
      <c r="G40" s="151" t="s">
        <v>506</v>
      </c>
      <c r="H40" s="152" t="s">
        <v>531</v>
      </c>
    </row>
    <row r="41" spans="2:8" ht="16.5" thickBot="1" x14ac:dyDescent="0.3">
      <c r="F41" s="147"/>
      <c r="G41" s="151" t="s">
        <v>501</v>
      </c>
      <c r="H41" s="152" t="s">
        <v>532</v>
      </c>
    </row>
  </sheetData>
  <mergeCells count="8">
    <mergeCell ref="F17:F19"/>
    <mergeCell ref="H17:H19"/>
    <mergeCell ref="B4:D4"/>
    <mergeCell ref="B12:D12"/>
    <mergeCell ref="B15:D15"/>
    <mergeCell ref="F4:H4"/>
    <mergeCell ref="F12:H12"/>
    <mergeCell ref="F15:H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topLeftCell="A11" workbookViewId="0">
      <selection activeCell="O13" sqref="O13:P13"/>
    </sheetView>
  </sheetViews>
  <sheetFormatPr defaultRowHeight="15.75" x14ac:dyDescent="0.25"/>
  <cols>
    <col min="1" max="1" width="9.140625" style="79"/>
    <col min="2" max="2" width="7.42578125" style="65" customWidth="1"/>
    <col min="3" max="3" width="18.7109375" style="65" customWidth="1"/>
    <col min="4" max="4" width="28.28515625" style="65" customWidth="1"/>
    <col min="5" max="5" width="18.42578125" style="65" customWidth="1"/>
    <col min="6" max="6" width="11.42578125" style="65" customWidth="1"/>
    <col min="7" max="7" width="19.5703125" style="65" customWidth="1"/>
    <col min="8" max="8" width="16.7109375" style="65" customWidth="1"/>
    <col min="9" max="9" width="15" style="65" customWidth="1"/>
    <col min="10" max="10" width="16.42578125" style="67" customWidth="1"/>
    <col min="11" max="11" width="10.85546875" style="65" customWidth="1"/>
    <col min="12" max="12" width="12.5703125" style="65" customWidth="1"/>
    <col min="13" max="13" width="16.5703125" style="65" customWidth="1"/>
    <col min="14" max="14" width="20.28515625" style="65" customWidth="1"/>
    <col min="15" max="15" width="14" style="65" customWidth="1"/>
    <col min="16" max="16" width="11" style="65" customWidth="1"/>
    <col min="17" max="16384" width="9.140625" style="79"/>
  </cols>
  <sheetData>
    <row r="1" spans="2:16" ht="16.5" thickBot="1" x14ac:dyDescent="0.3">
      <c r="C1" s="66"/>
      <c r="D1" s="66"/>
      <c r="E1" s="66"/>
      <c r="F1" s="66"/>
      <c r="G1" s="66"/>
      <c r="H1" s="66"/>
      <c r="I1" s="66"/>
      <c r="K1" s="66"/>
      <c r="M1" s="66"/>
      <c r="O1" s="66"/>
      <c r="P1" s="66"/>
    </row>
    <row r="2" spans="2:16" ht="16.5" thickBot="1" x14ac:dyDescent="0.3">
      <c r="C2" s="68"/>
      <c r="D2" s="68"/>
      <c r="E2" s="68"/>
      <c r="F2" s="68"/>
      <c r="G2" s="68"/>
      <c r="H2" s="68"/>
      <c r="I2" s="68"/>
      <c r="J2" s="69"/>
      <c r="K2" s="66"/>
      <c r="M2" s="66"/>
      <c r="O2" s="66"/>
      <c r="P2" s="66"/>
    </row>
    <row r="3" spans="2:16" x14ac:dyDescent="0.25">
      <c r="I3" s="66"/>
      <c r="O3" s="66"/>
      <c r="P3" s="66"/>
    </row>
    <row r="4" spans="2:16" x14ac:dyDescent="0.25">
      <c r="B4" s="189" t="s">
        <v>66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2:16" x14ac:dyDescent="0.25">
      <c r="C5" s="70"/>
      <c r="D5" s="70"/>
      <c r="E5" s="71"/>
      <c r="F5" s="70"/>
      <c r="G5" s="70"/>
      <c r="H5" s="70"/>
      <c r="I5" s="70"/>
      <c r="J5" s="72"/>
      <c r="K5" s="70"/>
      <c r="L5" s="70"/>
      <c r="M5" s="70"/>
      <c r="N5" s="70"/>
      <c r="O5" s="70"/>
      <c r="P5" s="73"/>
    </row>
    <row r="6" spans="2:16" x14ac:dyDescent="0.25">
      <c r="G6" s="66"/>
      <c r="H6" s="66"/>
      <c r="I6" s="66"/>
      <c r="K6" s="66"/>
      <c r="L6" s="66"/>
      <c r="N6" s="190" t="s">
        <v>67</v>
      </c>
      <c r="O6" s="190"/>
      <c r="P6" s="190"/>
    </row>
    <row r="7" spans="2:16" x14ac:dyDescent="0.25">
      <c r="G7" s="66"/>
      <c r="H7" s="66"/>
      <c r="I7" s="66"/>
      <c r="K7" s="66"/>
      <c r="L7" s="66"/>
      <c r="N7" s="70"/>
      <c r="O7" s="70"/>
      <c r="P7" s="73"/>
    </row>
    <row r="8" spans="2:16" x14ac:dyDescent="0.25">
      <c r="B8" s="66"/>
      <c r="C8" s="66"/>
      <c r="D8" s="66"/>
      <c r="E8" s="66"/>
      <c r="F8" s="66"/>
      <c r="G8" s="66"/>
      <c r="H8" s="66"/>
      <c r="I8" s="66"/>
      <c r="J8" s="75"/>
      <c r="K8" s="66"/>
      <c r="L8" s="66"/>
      <c r="M8" s="66"/>
      <c r="N8" s="66"/>
      <c r="O8" s="66"/>
      <c r="P8" s="66"/>
    </row>
    <row r="9" spans="2:16" x14ac:dyDescent="0.25">
      <c r="D9" s="76"/>
      <c r="E9" s="66"/>
      <c r="G9" s="66"/>
      <c r="H9" s="66"/>
      <c r="I9" s="66"/>
      <c r="K9" s="66"/>
      <c r="L9" s="66"/>
      <c r="M9" s="70"/>
      <c r="N9" s="70"/>
      <c r="O9" s="70"/>
      <c r="P9" s="73"/>
    </row>
    <row r="11" spans="2:16" x14ac:dyDescent="0.25">
      <c r="B11" s="66"/>
    </row>
    <row r="12" spans="2:16" x14ac:dyDescent="0.25">
      <c r="C12" s="66"/>
      <c r="D12" s="66"/>
      <c r="E12" s="66"/>
      <c r="F12" s="66"/>
      <c r="G12" s="66"/>
      <c r="H12" s="66"/>
      <c r="I12" s="66"/>
      <c r="J12" s="77"/>
      <c r="K12" s="66"/>
      <c r="L12" s="66"/>
      <c r="M12" s="66"/>
      <c r="N12" s="66"/>
      <c r="O12" s="66"/>
      <c r="P12" s="66"/>
    </row>
    <row r="13" spans="2:16" ht="126" x14ac:dyDescent="0.25">
      <c r="B13" s="80" t="s">
        <v>1</v>
      </c>
      <c r="C13" s="81" t="s">
        <v>4</v>
      </c>
      <c r="D13" s="80" t="s">
        <v>5</v>
      </c>
      <c r="E13" s="39" t="s">
        <v>6</v>
      </c>
      <c r="F13" s="80" t="s">
        <v>7</v>
      </c>
      <c r="G13" s="80" t="s">
        <v>11</v>
      </c>
      <c r="H13" s="80" t="s">
        <v>13</v>
      </c>
      <c r="I13" s="80" t="s">
        <v>14</v>
      </c>
      <c r="J13" s="82" t="s">
        <v>15</v>
      </c>
      <c r="K13" s="80" t="s">
        <v>17</v>
      </c>
      <c r="L13" s="80" t="s">
        <v>18</v>
      </c>
      <c r="M13" s="80" t="s">
        <v>19</v>
      </c>
      <c r="N13" s="80" t="s">
        <v>20</v>
      </c>
      <c r="O13" s="80" t="s">
        <v>432</v>
      </c>
      <c r="P13" s="80" t="s">
        <v>433</v>
      </c>
    </row>
    <row r="14" spans="2:16" x14ac:dyDescent="0.25">
      <c r="B14" s="83">
        <v>1</v>
      </c>
      <c r="C14" s="81">
        <v>4</v>
      </c>
      <c r="D14" s="83">
        <v>5</v>
      </c>
      <c r="E14" s="84">
        <v>6</v>
      </c>
      <c r="F14" s="83">
        <v>7</v>
      </c>
      <c r="G14" s="83">
        <v>11</v>
      </c>
      <c r="H14" s="80"/>
      <c r="I14" s="83">
        <v>14</v>
      </c>
      <c r="J14" s="85">
        <v>15</v>
      </c>
      <c r="K14" s="83">
        <v>17</v>
      </c>
      <c r="L14" s="83">
        <v>18</v>
      </c>
      <c r="M14" s="83">
        <v>19</v>
      </c>
      <c r="N14" s="83">
        <v>20</v>
      </c>
      <c r="O14" s="83">
        <v>21</v>
      </c>
      <c r="P14" s="83">
        <v>22</v>
      </c>
    </row>
    <row r="15" spans="2:16" x14ac:dyDescent="0.25">
      <c r="B15" s="177" t="s">
        <v>25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</row>
    <row r="16" spans="2:16" ht="84.75" customHeight="1" x14ac:dyDescent="0.25">
      <c r="B16" s="22" t="s">
        <v>26</v>
      </c>
      <c r="C16" s="86" t="s">
        <v>50</v>
      </c>
      <c r="D16" s="86" t="s">
        <v>51</v>
      </c>
      <c r="E16" s="22"/>
      <c r="F16" s="22" t="s">
        <v>27</v>
      </c>
      <c r="G16" s="22" t="s">
        <v>72</v>
      </c>
      <c r="H16" s="22" t="s">
        <v>28</v>
      </c>
      <c r="I16" s="22" t="s">
        <v>77</v>
      </c>
      <c r="J16" s="24">
        <v>100</v>
      </c>
      <c r="K16" s="87" t="s">
        <v>49</v>
      </c>
      <c r="L16" s="25">
        <v>2901</v>
      </c>
      <c r="M16" s="26">
        <f>128/1.12</f>
        <v>114.28571428571428</v>
      </c>
      <c r="N16" s="26">
        <f t="shared" ref="N16:N17" si="0">L16*M16</f>
        <v>331542.8571428571</v>
      </c>
      <c r="O16" s="26"/>
      <c r="P16" s="22"/>
    </row>
    <row r="17" spans="2:16" ht="87" customHeight="1" x14ac:dyDescent="0.25">
      <c r="B17" s="22" t="s">
        <v>29</v>
      </c>
      <c r="C17" s="88" t="s">
        <v>50</v>
      </c>
      <c r="D17" s="88" t="s">
        <v>344</v>
      </c>
      <c r="E17" s="22" t="s">
        <v>345</v>
      </c>
      <c r="F17" s="22" t="s">
        <v>27</v>
      </c>
      <c r="G17" s="22" t="s">
        <v>72</v>
      </c>
      <c r="H17" s="22" t="s">
        <v>28</v>
      </c>
      <c r="I17" s="22" t="s">
        <v>77</v>
      </c>
      <c r="J17" s="24">
        <v>100</v>
      </c>
      <c r="K17" s="87" t="s">
        <v>49</v>
      </c>
      <c r="L17" s="25">
        <v>20</v>
      </c>
      <c r="M17" s="26">
        <f>120/1.12</f>
        <v>107.14285714285714</v>
      </c>
      <c r="N17" s="26">
        <f t="shared" si="0"/>
        <v>2142.8571428571427</v>
      </c>
      <c r="O17" s="26"/>
      <c r="P17" s="22"/>
    </row>
    <row r="18" spans="2:16" x14ac:dyDescent="0.25">
      <c r="B18" s="22"/>
      <c r="C18" s="22"/>
      <c r="D18" s="22"/>
      <c r="E18" s="22"/>
      <c r="F18" s="22"/>
      <c r="G18" s="22"/>
      <c r="H18" s="22"/>
      <c r="I18" s="22"/>
      <c r="J18" s="44"/>
      <c r="K18" s="22"/>
      <c r="L18" s="22"/>
      <c r="M18" s="22"/>
      <c r="N18" s="26">
        <f>SUM(N16:N17)</f>
        <v>333685.71428571426</v>
      </c>
      <c r="O18" s="22">
        <v>364000</v>
      </c>
      <c r="P18" s="22"/>
    </row>
    <row r="20" spans="2:16" x14ac:dyDescent="0.25">
      <c r="N20" s="66"/>
    </row>
    <row r="21" spans="2:16" x14ac:dyDescent="0.25">
      <c r="D21" s="66"/>
    </row>
    <row r="27" spans="2:16" ht="15" customHeight="1" x14ac:dyDescent="0.25">
      <c r="C27" s="78"/>
    </row>
    <row r="28" spans="2:16" x14ac:dyDescent="0.25">
      <c r="C28" s="78"/>
    </row>
  </sheetData>
  <mergeCells count="3">
    <mergeCell ref="B4:P4"/>
    <mergeCell ref="N6:P6"/>
    <mergeCell ref="B15:P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1"/>
  <sheetViews>
    <sheetView topLeftCell="A54" workbookViewId="0">
      <selection activeCell="G63" sqref="G63"/>
    </sheetView>
  </sheetViews>
  <sheetFormatPr defaultRowHeight="15" x14ac:dyDescent="0.25"/>
  <cols>
    <col min="2" max="2" width="7.42578125" style="21" customWidth="1"/>
    <col min="3" max="3" width="20.42578125" style="21" customWidth="1"/>
    <col min="4" max="4" width="27.7109375" style="21" customWidth="1"/>
    <col min="5" max="5" width="23" style="21" customWidth="1"/>
    <col min="6" max="6" width="11.42578125" style="21" customWidth="1"/>
    <col min="7" max="7" width="19.5703125" style="21" customWidth="1"/>
    <col min="8" max="8" width="26.28515625" style="21" customWidth="1"/>
    <col min="9" max="9" width="15" style="21" customWidth="1"/>
    <col min="10" max="10" width="13.85546875" style="3" customWidth="1"/>
    <col min="11" max="11" width="10.85546875" style="21" customWidth="1"/>
    <col min="12" max="12" width="9.85546875" style="21" customWidth="1"/>
    <col min="13" max="13" width="16.5703125" style="21" customWidth="1"/>
    <col min="14" max="14" width="20.28515625" style="21" customWidth="1"/>
    <col min="15" max="15" width="20" style="21" customWidth="1"/>
    <col min="16" max="16" width="13.140625" style="21" customWidth="1"/>
  </cols>
  <sheetData>
    <row r="1" spans="2:16" ht="15.75" thickBot="1" x14ac:dyDescent="0.3">
      <c r="C1" s="52"/>
      <c r="D1" s="52"/>
      <c r="E1" s="52"/>
      <c r="F1" s="52"/>
      <c r="G1" s="52"/>
      <c r="H1" s="52"/>
      <c r="I1" s="52"/>
      <c r="K1" s="52"/>
      <c r="M1" s="52"/>
      <c r="O1" s="52"/>
      <c r="P1" s="52"/>
    </row>
    <row r="2" spans="2:16" ht="15.75" thickBot="1" x14ac:dyDescent="0.3">
      <c r="C2" s="49"/>
      <c r="D2" s="49"/>
      <c r="E2" s="49"/>
      <c r="F2" s="49"/>
      <c r="G2" s="49"/>
      <c r="H2" s="49"/>
      <c r="I2" s="49"/>
      <c r="J2" s="5"/>
      <c r="K2" s="52"/>
      <c r="M2" s="52"/>
      <c r="O2" s="52"/>
      <c r="P2" s="52"/>
    </row>
    <row r="3" spans="2:16" x14ac:dyDescent="0.25">
      <c r="I3" s="52"/>
      <c r="O3" s="52"/>
      <c r="P3" s="52"/>
    </row>
    <row r="4" spans="2:16" x14ac:dyDescent="0.25">
      <c r="B4" s="175" t="s">
        <v>66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2:16" x14ac:dyDescent="0.25">
      <c r="C5" s="6"/>
      <c r="D5" s="6"/>
      <c r="E5" s="7"/>
      <c r="F5" s="6"/>
      <c r="G5" s="6"/>
      <c r="H5" s="6"/>
      <c r="I5" s="6"/>
      <c r="J5" s="8"/>
      <c r="K5" s="6"/>
      <c r="L5" s="6"/>
      <c r="M5" s="6"/>
      <c r="N5" s="6"/>
      <c r="O5" s="6"/>
      <c r="P5" s="10"/>
    </row>
    <row r="6" spans="2:16" x14ac:dyDescent="0.25">
      <c r="G6" s="52"/>
      <c r="H6" s="52"/>
      <c r="I6" s="52"/>
      <c r="K6" s="52"/>
      <c r="L6" s="52"/>
      <c r="N6" s="171" t="s">
        <v>67</v>
      </c>
      <c r="O6" s="171"/>
      <c r="P6" s="171"/>
    </row>
    <row r="7" spans="2:16" x14ac:dyDescent="0.25">
      <c r="G7" s="52"/>
      <c r="H7" s="52"/>
      <c r="I7" s="52"/>
      <c r="K7" s="52"/>
      <c r="L7" s="52"/>
      <c r="N7" s="6"/>
      <c r="O7" s="6"/>
      <c r="P7" s="10"/>
    </row>
    <row r="8" spans="2:16" x14ac:dyDescent="0.25">
      <c r="B8" s="52"/>
      <c r="C8" s="52"/>
      <c r="D8" s="52"/>
      <c r="E8" s="52"/>
      <c r="F8" s="52"/>
      <c r="G8" s="52"/>
      <c r="H8" s="52"/>
      <c r="I8" s="52"/>
      <c r="J8" s="12"/>
      <c r="K8" s="52"/>
      <c r="L8" s="52"/>
      <c r="M8" s="52"/>
      <c r="N8" s="52"/>
      <c r="O8" s="52"/>
      <c r="P8" s="52"/>
    </row>
    <row r="9" spans="2:16" x14ac:dyDescent="0.25">
      <c r="D9" s="13"/>
      <c r="E9" s="52"/>
      <c r="G9" s="52"/>
      <c r="H9" s="52"/>
      <c r="I9" s="52"/>
      <c r="K9" s="52"/>
      <c r="L9" s="52"/>
      <c r="M9" s="6"/>
      <c r="N9" s="6"/>
      <c r="O9" s="6"/>
      <c r="P9" s="10"/>
    </row>
    <row r="11" spans="2:16" x14ac:dyDescent="0.25">
      <c r="B11" s="52"/>
    </row>
    <row r="12" spans="2:16" ht="15.75" thickBot="1" x14ac:dyDescent="0.3">
      <c r="C12" s="52"/>
      <c r="D12" s="52"/>
      <c r="E12" s="52"/>
      <c r="F12" s="52"/>
      <c r="G12" s="52"/>
      <c r="H12" s="52"/>
      <c r="I12" s="52"/>
      <c r="J12" s="15"/>
      <c r="K12" s="52"/>
      <c r="L12" s="52"/>
      <c r="M12" s="52"/>
      <c r="N12" s="52"/>
      <c r="O12" s="52"/>
      <c r="P12" s="52"/>
    </row>
    <row r="13" spans="2:16" ht="126" x14ac:dyDescent="0.25">
      <c r="B13" s="29" t="s">
        <v>1</v>
      </c>
      <c r="C13" s="31" t="s">
        <v>4</v>
      </c>
      <c r="D13" s="30" t="s">
        <v>5</v>
      </c>
      <c r="E13" s="32" t="s">
        <v>6</v>
      </c>
      <c r="F13" s="30" t="s">
        <v>7</v>
      </c>
      <c r="G13" s="30" t="s">
        <v>11</v>
      </c>
      <c r="H13" s="30" t="s">
        <v>12</v>
      </c>
      <c r="I13" s="30" t="s">
        <v>14</v>
      </c>
      <c r="J13" s="33" t="s">
        <v>15</v>
      </c>
      <c r="K13" s="30" t="s">
        <v>17</v>
      </c>
      <c r="L13" s="30" t="s">
        <v>18</v>
      </c>
      <c r="M13" s="30" t="s">
        <v>19</v>
      </c>
      <c r="N13" s="30" t="s">
        <v>20</v>
      </c>
      <c r="O13" s="80" t="s">
        <v>432</v>
      </c>
      <c r="P13" s="80" t="s">
        <v>433</v>
      </c>
    </row>
    <row r="14" spans="2:16" ht="16.5" thickBot="1" x14ac:dyDescent="0.3">
      <c r="B14" s="34">
        <v>1</v>
      </c>
      <c r="C14" s="36">
        <v>4</v>
      </c>
      <c r="D14" s="35">
        <v>5</v>
      </c>
      <c r="E14" s="37">
        <v>6</v>
      </c>
      <c r="F14" s="35">
        <v>7</v>
      </c>
      <c r="G14" s="35">
        <v>11</v>
      </c>
      <c r="H14" s="35">
        <v>12</v>
      </c>
      <c r="I14" s="35">
        <v>14</v>
      </c>
      <c r="J14" s="38">
        <v>15</v>
      </c>
      <c r="K14" s="35">
        <v>17</v>
      </c>
      <c r="L14" s="35">
        <v>18</v>
      </c>
      <c r="M14" s="35">
        <v>19</v>
      </c>
      <c r="N14" s="35">
        <v>20</v>
      </c>
      <c r="O14" s="35">
        <v>21</v>
      </c>
      <c r="P14" s="35">
        <v>22</v>
      </c>
    </row>
    <row r="15" spans="2:16" ht="16.5" thickBot="1" x14ac:dyDescent="0.3">
      <c r="B15" s="191" t="s">
        <v>25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</row>
    <row r="16" spans="2:16" ht="79.5" thickBot="1" x14ac:dyDescent="0.3">
      <c r="B16" s="22" t="s">
        <v>31</v>
      </c>
      <c r="C16" s="47" t="s">
        <v>60</v>
      </c>
      <c r="D16" s="48" t="s">
        <v>57</v>
      </c>
      <c r="E16" s="22" t="s">
        <v>73</v>
      </c>
      <c r="F16" s="22" t="s">
        <v>74</v>
      </c>
      <c r="G16" s="22" t="s">
        <v>75</v>
      </c>
      <c r="H16" s="22" t="s">
        <v>76</v>
      </c>
      <c r="I16" s="22" t="s">
        <v>78</v>
      </c>
      <c r="J16" s="24" t="s">
        <v>34</v>
      </c>
      <c r="K16" s="28" t="s">
        <v>54</v>
      </c>
      <c r="L16" s="27">
        <v>4.5999999999999999E-2</v>
      </c>
      <c r="M16" s="26">
        <v>285000</v>
      </c>
      <c r="N16" s="26">
        <f t="shared" ref="N16:N58" si="0">L16*M16</f>
        <v>13110</v>
      </c>
      <c r="O16" s="26"/>
      <c r="P16" s="22"/>
    </row>
    <row r="17" spans="2:16" ht="79.5" thickBot="1" x14ac:dyDescent="0.3">
      <c r="B17" s="22" t="s">
        <v>32</v>
      </c>
      <c r="C17" s="47" t="s">
        <v>60</v>
      </c>
      <c r="D17" s="48" t="s">
        <v>57</v>
      </c>
      <c r="E17" s="22" t="s">
        <v>79</v>
      </c>
      <c r="F17" s="22" t="s">
        <v>74</v>
      </c>
      <c r="G17" s="22" t="s">
        <v>75</v>
      </c>
      <c r="H17" s="22" t="s">
        <v>76</v>
      </c>
      <c r="I17" s="22" t="s">
        <v>78</v>
      </c>
      <c r="J17" s="24" t="s">
        <v>34</v>
      </c>
      <c r="K17" s="28" t="s">
        <v>54</v>
      </c>
      <c r="L17" s="27">
        <v>0.218</v>
      </c>
      <c r="M17" s="26">
        <v>285000</v>
      </c>
      <c r="N17" s="26">
        <f t="shared" si="0"/>
        <v>62130</v>
      </c>
      <c r="O17" s="26"/>
      <c r="P17" s="22"/>
    </row>
    <row r="18" spans="2:16" ht="79.5" thickBot="1" x14ac:dyDescent="0.3">
      <c r="B18" s="22" t="s">
        <v>33</v>
      </c>
      <c r="C18" s="47" t="s">
        <v>60</v>
      </c>
      <c r="D18" s="48" t="s">
        <v>57</v>
      </c>
      <c r="E18" s="22" t="s">
        <v>79</v>
      </c>
      <c r="F18" s="22" t="s">
        <v>74</v>
      </c>
      <c r="G18" s="22" t="s">
        <v>75</v>
      </c>
      <c r="H18" s="22" t="s">
        <v>76</v>
      </c>
      <c r="I18" s="22" t="s">
        <v>78</v>
      </c>
      <c r="J18" s="24" t="s">
        <v>34</v>
      </c>
      <c r="K18" s="28" t="s">
        <v>54</v>
      </c>
      <c r="L18" s="27">
        <v>0.218</v>
      </c>
      <c r="M18" s="26">
        <v>285000</v>
      </c>
      <c r="N18" s="26">
        <f t="shared" si="0"/>
        <v>62130</v>
      </c>
      <c r="O18" s="26"/>
      <c r="P18" s="22"/>
    </row>
    <row r="19" spans="2:16" ht="79.5" thickBot="1" x14ac:dyDescent="0.3">
      <c r="B19" s="22" t="s">
        <v>35</v>
      </c>
      <c r="C19" s="47" t="s">
        <v>52</v>
      </c>
      <c r="D19" s="48" t="s">
        <v>59</v>
      </c>
      <c r="E19" s="22" t="s">
        <v>81</v>
      </c>
      <c r="F19" s="22" t="s">
        <v>74</v>
      </c>
      <c r="G19" s="22" t="s">
        <v>75</v>
      </c>
      <c r="H19" s="22" t="s">
        <v>76</v>
      </c>
      <c r="I19" s="22" t="s">
        <v>78</v>
      </c>
      <c r="J19" s="24" t="s">
        <v>34</v>
      </c>
      <c r="K19" s="28" t="s">
        <v>54</v>
      </c>
      <c r="L19" s="27">
        <v>1.2E-2</v>
      </c>
      <c r="M19" s="26">
        <v>400000</v>
      </c>
      <c r="N19" s="26">
        <f t="shared" si="0"/>
        <v>4800</v>
      </c>
      <c r="O19" s="26"/>
      <c r="P19" s="22"/>
    </row>
    <row r="20" spans="2:16" ht="79.5" thickBot="1" x14ac:dyDescent="0.3">
      <c r="B20" s="22" t="s">
        <v>36</v>
      </c>
      <c r="C20" s="47" t="s">
        <v>52</v>
      </c>
      <c r="D20" s="48" t="s">
        <v>59</v>
      </c>
      <c r="E20" s="22" t="s">
        <v>82</v>
      </c>
      <c r="F20" s="22" t="s">
        <v>74</v>
      </c>
      <c r="G20" s="22" t="s">
        <v>75</v>
      </c>
      <c r="H20" s="22" t="s">
        <v>76</v>
      </c>
      <c r="I20" s="22" t="s">
        <v>78</v>
      </c>
      <c r="J20" s="24" t="s">
        <v>34</v>
      </c>
      <c r="K20" s="28" t="s">
        <v>54</v>
      </c>
      <c r="L20" s="27">
        <f>0.02+0.02</f>
        <v>0.04</v>
      </c>
      <c r="M20" s="26">
        <v>400000</v>
      </c>
      <c r="N20" s="26">
        <f t="shared" si="0"/>
        <v>16000</v>
      </c>
      <c r="O20" s="26"/>
      <c r="P20" s="22"/>
    </row>
    <row r="21" spans="2:16" ht="79.5" thickBot="1" x14ac:dyDescent="0.3">
      <c r="B21" s="22" t="s">
        <v>37</v>
      </c>
      <c r="C21" s="47" t="s">
        <v>55</v>
      </c>
      <c r="D21" s="48" t="s">
        <v>83</v>
      </c>
      <c r="E21" s="22" t="s">
        <v>85</v>
      </c>
      <c r="F21" s="22" t="s">
        <v>74</v>
      </c>
      <c r="G21" s="22" t="s">
        <v>75</v>
      </c>
      <c r="H21" s="22" t="s">
        <v>76</v>
      </c>
      <c r="I21" s="22" t="s">
        <v>78</v>
      </c>
      <c r="J21" s="24" t="s">
        <v>34</v>
      </c>
      <c r="K21" s="28" t="s">
        <v>54</v>
      </c>
      <c r="L21" s="27">
        <v>5.0000000000000001E-3</v>
      </c>
      <c r="M21" s="26">
        <v>450000</v>
      </c>
      <c r="N21" s="26">
        <f t="shared" si="0"/>
        <v>2250</v>
      </c>
      <c r="O21" s="26"/>
      <c r="P21" s="22"/>
    </row>
    <row r="22" spans="2:16" ht="79.5" thickBot="1" x14ac:dyDescent="0.3">
      <c r="B22" s="22" t="s">
        <v>38</v>
      </c>
      <c r="C22" s="47" t="s">
        <v>55</v>
      </c>
      <c r="D22" s="48" t="s">
        <v>83</v>
      </c>
      <c r="E22" s="22" t="s">
        <v>86</v>
      </c>
      <c r="F22" s="22" t="s">
        <v>74</v>
      </c>
      <c r="G22" s="22" t="s">
        <v>75</v>
      </c>
      <c r="H22" s="22" t="s">
        <v>76</v>
      </c>
      <c r="I22" s="22" t="s">
        <v>78</v>
      </c>
      <c r="J22" s="24" t="s">
        <v>34</v>
      </c>
      <c r="K22" s="28" t="s">
        <v>54</v>
      </c>
      <c r="L22" s="27">
        <f>0.005+0.003</f>
        <v>8.0000000000000002E-3</v>
      </c>
      <c r="M22" s="26">
        <v>450000</v>
      </c>
      <c r="N22" s="26">
        <f t="shared" si="0"/>
        <v>3600</v>
      </c>
      <c r="O22" s="26"/>
      <c r="P22" s="22"/>
    </row>
    <row r="23" spans="2:16" ht="79.5" thickBot="1" x14ac:dyDescent="0.3">
      <c r="B23" s="22" t="s">
        <v>39</v>
      </c>
      <c r="C23" s="47" t="s">
        <v>61</v>
      </c>
      <c r="D23" s="48" t="s">
        <v>58</v>
      </c>
      <c r="E23" s="22" t="s">
        <v>87</v>
      </c>
      <c r="F23" s="22" t="s">
        <v>74</v>
      </c>
      <c r="G23" s="22" t="s">
        <v>75</v>
      </c>
      <c r="H23" s="22" t="s">
        <v>76</v>
      </c>
      <c r="I23" s="22" t="s">
        <v>78</v>
      </c>
      <c r="J23" s="24" t="s">
        <v>34</v>
      </c>
      <c r="K23" s="28" t="s">
        <v>54</v>
      </c>
      <c r="L23" s="27">
        <v>0.23</v>
      </c>
      <c r="M23" s="26">
        <v>265000</v>
      </c>
      <c r="N23" s="26">
        <f t="shared" si="0"/>
        <v>60950</v>
      </c>
      <c r="O23" s="26"/>
      <c r="P23" s="22"/>
    </row>
    <row r="24" spans="2:16" ht="79.5" thickBot="1" x14ac:dyDescent="0.3">
      <c r="B24" s="22" t="s">
        <v>40</v>
      </c>
      <c r="C24" s="47" t="s">
        <v>61</v>
      </c>
      <c r="D24" s="48" t="s">
        <v>58</v>
      </c>
      <c r="E24" s="22" t="s">
        <v>88</v>
      </c>
      <c r="F24" s="22" t="s">
        <v>74</v>
      </c>
      <c r="G24" s="22" t="s">
        <v>75</v>
      </c>
      <c r="H24" s="22" t="s">
        <v>76</v>
      </c>
      <c r="I24" s="22" t="s">
        <v>78</v>
      </c>
      <c r="J24" s="24" t="s">
        <v>34</v>
      </c>
      <c r="K24" s="28" t="s">
        <v>54</v>
      </c>
      <c r="L24" s="27">
        <v>0.186</v>
      </c>
      <c r="M24" s="26">
        <v>265000</v>
      </c>
      <c r="N24" s="26">
        <f t="shared" si="0"/>
        <v>49290</v>
      </c>
      <c r="O24" s="26"/>
      <c r="P24" s="22"/>
    </row>
    <row r="25" spans="2:16" ht="79.5" thickBot="1" x14ac:dyDescent="0.3">
      <c r="B25" s="22" t="s">
        <v>41</v>
      </c>
      <c r="C25" s="47" t="s">
        <v>64</v>
      </c>
      <c r="D25" s="48" t="s">
        <v>89</v>
      </c>
      <c r="E25" s="22" t="s">
        <v>88</v>
      </c>
      <c r="F25" s="22" t="s">
        <v>74</v>
      </c>
      <c r="G25" s="22" t="s">
        <v>75</v>
      </c>
      <c r="H25" s="22" t="s">
        <v>76</v>
      </c>
      <c r="I25" s="22" t="s">
        <v>78</v>
      </c>
      <c r="J25" s="24" t="s">
        <v>34</v>
      </c>
      <c r="K25" s="28" t="s">
        <v>62</v>
      </c>
      <c r="L25" s="27">
        <v>100</v>
      </c>
      <c r="M25" s="26">
        <v>331</v>
      </c>
      <c r="N25" s="26">
        <f t="shared" si="0"/>
        <v>33100</v>
      </c>
      <c r="O25" s="26"/>
      <c r="P25" s="22"/>
    </row>
    <row r="26" spans="2:16" ht="79.5" thickBot="1" x14ac:dyDescent="0.3">
      <c r="B26" s="22" t="s">
        <v>107</v>
      </c>
      <c r="C26" s="47" t="s">
        <v>63</v>
      </c>
      <c r="D26" s="48" t="s">
        <v>69</v>
      </c>
      <c r="E26" s="22"/>
      <c r="F26" s="22" t="s">
        <v>74</v>
      </c>
      <c r="G26" s="22" t="s">
        <v>75</v>
      </c>
      <c r="H26" s="22" t="s">
        <v>76</v>
      </c>
      <c r="I26" s="22" t="s">
        <v>78</v>
      </c>
      <c r="J26" s="24" t="s">
        <v>34</v>
      </c>
      <c r="K26" s="28" t="s">
        <v>54</v>
      </c>
      <c r="L26" s="27">
        <v>0.16</v>
      </c>
      <c r="M26" s="26">
        <v>280000</v>
      </c>
      <c r="N26" s="26">
        <f t="shared" si="0"/>
        <v>44800</v>
      </c>
      <c r="O26" s="26"/>
      <c r="P26" s="22"/>
    </row>
    <row r="27" spans="2:16" ht="79.5" thickBot="1" x14ac:dyDescent="0.3">
      <c r="B27" s="22" t="s">
        <v>108</v>
      </c>
      <c r="C27" s="47" t="s">
        <v>91</v>
      </c>
      <c r="D27" s="48" t="s">
        <v>92</v>
      </c>
      <c r="E27" s="22" t="s">
        <v>94</v>
      </c>
      <c r="F27" s="22" t="s">
        <v>74</v>
      </c>
      <c r="G27" s="22" t="s">
        <v>75</v>
      </c>
      <c r="H27" s="22" t="s">
        <v>76</v>
      </c>
      <c r="I27" s="22" t="s">
        <v>78</v>
      </c>
      <c r="J27" s="24" t="s">
        <v>34</v>
      </c>
      <c r="K27" s="28" t="s">
        <v>54</v>
      </c>
      <c r="L27" s="27">
        <v>0.2</v>
      </c>
      <c r="M27" s="26">
        <v>290000</v>
      </c>
      <c r="N27" s="26">
        <f t="shared" si="0"/>
        <v>58000</v>
      </c>
      <c r="O27" s="26"/>
      <c r="P27" s="22"/>
    </row>
    <row r="28" spans="2:16" ht="79.5" thickBot="1" x14ac:dyDescent="0.3">
      <c r="B28" s="22" t="s">
        <v>109</v>
      </c>
      <c r="C28" s="47" t="s">
        <v>91</v>
      </c>
      <c r="D28" s="48" t="s">
        <v>92</v>
      </c>
      <c r="E28" s="22" t="s">
        <v>95</v>
      </c>
      <c r="F28" s="22" t="s">
        <v>74</v>
      </c>
      <c r="G28" s="22" t="s">
        <v>75</v>
      </c>
      <c r="H28" s="22" t="s">
        <v>76</v>
      </c>
      <c r="I28" s="22" t="s">
        <v>78</v>
      </c>
      <c r="J28" s="24" t="s">
        <v>34</v>
      </c>
      <c r="K28" s="28" t="s">
        <v>54</v>
      </c>
      <c r="L28" s="27">
        <v>0.05</v>
      </c>
      <c r="M28" s="26">
        <v>290000</v>
      </c>
      <c r="N28" s="26">
        <f t="shared" si="0"/>
        <v>14500</v>
      </c>
      <c r="O28" s="26"/>
      <c r="P28" s="22"/>
    </row>
    <row r="29" spans="2:16" ht="90.75" thickBot="1" x14ac:dyDescent="0.3">
      <c r="B29" s="22" t="s">
        <v>110</v>
      </c>
      <c r="C29" s="47" t="s">
        <v>96</v>
      </c>
      <c r="D29" s="48" t="s">
        <v>97</v>
      </c>
      <c r="E29" s="22"/>
      <c r="F29" s="22" t="s">
        <v>74</v>
      </c>
      <c r="G29" s="22" t="s">
        <v>75</v>
      </c>
      <c r="H29" s="22" t="s">
        <v>76</v>
      </c>
      <c r="I29" s="22" t="s">
        <v>78</v>
      </c>
      <c r="J29" s="24" t="s">
        <v>34</v>
      </c>
      <c r="K29" s="28" t="s">
        <v>62</v>
      </c>
      <c r="L29" s="27">
        <v>80</v>
      </c>
      <c r="M29" s="26">
        <v>5000</v>
      </c>
      <c r="N29" s="26">
        <f t="shared" si="0"/>
        <v>400000</v>
      </c>
      <c r="O29" s="26"/>
      <c r="P29" s="22"/>
    </row>
    <row r="30" spans="2:16" ht="106.5" thickBot="1" x14ac:dyDescent="0.3">
      <c r="B30" s="22" t="s">
        <v>111</v>
      </c>
      <c r="C30" s="47" t="s">
        <v>52</v>
      </c>
      <c r="D30" s="28" t="s">
        <v>99</v>
      </c>
      <c r="E30" s="22"/>
      <c r="F30" s="22" t="s">
        <v>74</v>
      </c>
      <c r="G30" s="22" t="s">
        <v>75</v>
      </c>
      <c r="H30" s="22" t="s">
        <v>76</v>
      </c>
      <c r="I30" s="22" t="s">
        <v>78</v>
      </c>
      <c r="J30" s="24" t="s">
        <v>34</v>
      </c>
      <c r="K30" s="28" t="s">
        <v>54</v>
      </c>
      <c r="L30" s="27">
        <v>0.1</v>
      </c>
      <c r="M30" s="26">
        <v>400000</v>
      </c>
      <c r="N30" s="26">
        <f t="shared" si="0"/>
        <v>40000</v>
      </c>
      <c r="O30" s="26"/>
      <c r="P30" s="22"/>
    </row>
    <row r="31" spans="2:16" ht="79.5" thickBot="1" x14ac:dyDescent="0.3">
      <c r="B31" s="22" t="s">
        <v>112</v>
      </c>
      <c r="C31" s="47" t="s">
        <v>55</v>
      </c>
      <c r="D31" s="48" t="s">
        <v>101</v>
      </c>
      <c r="E31" s="22" t="s">
        <v>106</v>
      </c>
      <c r="F31" s="22" t="s">
        <v>74</v>
      </c>
      <c r="G31" s="22" t="s">
        <v>75</v>
      </c>
      <c r="H31" s="22" t="s">
        <v>76</v>
      </c>
      <c r="I31" s="22" t="s">
        <v>78</v>
      </c>
      <c r="J31" s="24" t="s">
        <v>34</v>
      </c>
      <c r="K31" s="28" t="s">
        <v>54</v>
      </c>
      <c r="L31" s="27">
        <v>0.01</v>
      </c>
      <c r="M31" s="26">
        <v>450000</v>
      </c>
      <c r="N31" s="26">
        <f t="shared" si="0"/>
        <v>4500</v>
      </c>
      <c r="O31" s="26"/>
      <c r="P31" s="22"/>
    </row>
    <row r="32" spans="2:16" ht="79.5" thickBot="1" x14ac:dyDescent="0.3">
      <c r="B32" s="22" t="s">
        <v>132</v>
      </c>
      <c r="C32" s="47" t="s">
        <v>52</v>
      </c>
      <c r="D32" s="48" t="s">
        <v>103</v>
      </c>
      <c r="E32" s="22" t="s">
        <v>150</v>
      </c>
      <c r="F32" s="22" t="s">
        <v>74</v>
      </c>
      <c r="G32" s="22" t="s">
        <v>75</v>
      </c>
      <c r="H32" s="22" t="s">
        <v>76</v>
      </c>
      <c r="I32" s="22" t="s">
        <v>78</v>
      </c>
      <c r="J32" s="24" t="s">
        <v>34</v>
      </c>
      <c r="K32" s="28" t="s">
        <v>105</v>
      </c>
      <c r="L32" s="27">
        <v>30</v>
      </c>
      <c r="M32" s="26">
        <v>450</v>
      </c>
      <c r="N32" s="26">
        <f t="shared" si="0"/>
        <v>13500</v>
      </c>
      <c r="O32" s="26"/>
      <c r="P32" s="22"/>
    </row>
    <row r="33" spans="2:16" ht="79.5" thickBot="1" x14ac:dyDescent="0.3">
      <c r="B33" s="22" t="s">
        <v>133</v>
      </c>
      <c r="C33" s="47" t="s">
        <v>113</v>
      </c>
      <c r="D33" s="48" t="s">
        <v>114</v>
      </c>
      <c r="E33" s="22"/>
      <c r="F33" s="22" t="s">
        <v>74</v>
      </c>
      <c r="G33" s="22" t="s">
        <v>75</v>
      </c>
      <c r="H33" s="22" t="s">
        <v>76</v>
      </c>
      <c r="I33" s="22" t="s">
        <v>78</v>
      </c>
      <c r="J33" s="24" t="s">
        <v>34</v>
      </c>
      <c r="K33" s="28" t="s">
        <v>54</v>
      </c>
      <c r="L33" s="27">
        <v>0.01</v>
      </c>
      <c r="M33" s="26">
        <v>285700</v>
      </c>
      <c r="N33" s="26">
        <f t="shared" si="0"/>
        <v>2857</v>
      </c>
      <c r="O33" s="26"/>
      <c r="P33" s="22"/>
    </row>
    <row r="34" spans="2:16" ht="105.75" thickBot="1" x14ac:dyDescent="0.3">
      <c r="B34" s="22" t="s">
        <v>134</v>
      </c>
      <c r="C34" s="47" t="s">
        <v>118</v>
      </c>
      <c r="D34" s="48" t="s">
        <v>119</v>
      </c>
      <c r="E34" s="22" t="s">
        <v>123</v>
      </c>
      <c r="F34" s="22" t="s">
        <v>74</v>
      </c>
      <c r="G34" s="22" t="s">
        <v>75</v>
      </c>
      <c r="H34" s="22" t="s">
        <v>76</v>
      </c>
      <c r="I34" s="22" t="s">
        <v>78</v>
      </c>
      <c r="J34" s="24" t="s">
        <v>34</v>
      </c>
      <c r="K34" s="28" t="s">
        <v>117</v>
      </c>
      <c r="L34" s="27">
        <v>1</v>
      </c>
      <c r="M34" s="26">
        <v>810000</v>
      </c>
      <c r="N34" s="26">
        <f t="shared" si="0"/>
        <v>810000</v>
      </c>
      <c r="O34" s="26"/>
      <c r="P34" s="22"/>
    </row>
    <row r="35" spans="2:16" ht="79.5" thickBot="1" x14ac:dyDescent="0.3">
      <c r="B35" s="22" t="s">
        <v>135</v>
      </c>
      <c r="C35" s="47" t="s">
        <v>121</v>
      </c>
      <c r="D35" s="48" t="s">
        <v>122</v>
      </c>
      <c r="E35" s="22" t="s">
        <v>124</v>
      </c>
      <c r="F35" s="22" t="s">
        <v>74</v>
      </c>
      <c r="G35" s="22" t="s">
        <v>75</v>
      </c>
      <c r="H35" s="22" t="s">
        <v>76</v>
      </c>
      <c r="I35" s="22" t="s">
        <v>78</v>
      </c>
      <c r="J35" s="24" t="s">
        <v>34</v>
      </c>
      <c r="K35" s="28" t="s">
        <v>62</v>
      </c>
      <c r="L35" s="27">
        <v>1</v>
      </c>
      <c r="M35" s="26">
        <v>1450000</v>
      </c>
      <c r="N35" s="26">
        <f t="shared" si="0"/>
        <v>1450000</v>
      </c>
      <c r="O35" s="26"/>
      <c r="P35" s="22"/>
    </row>
    <row r="36" spans="2:16" ht="79.5" thickBot="1" x14ac:dyDescent="0.3">
      <c r="B36" s="22" t="s">
        <v>136</v>
      </c>
      <c r="C36" s="47" t="s">
        <v>126</v>
      </c>
      <c r="D36" s="48" t="s">
        <v>127</v>
      </c>
      <c r="E36" s="22"/>
      <c r="F36" s="22" t="s">
        <v>74</v>
      </c>
      <c r="G36" s="22" t="s">
        <v>75</v>
      </c>
      <c r="H36" s="22" t="s">
        <v>76</v>
      </c>
      <c r="I36" s="22" t="s">
        <v>78</v>
      </c>
      <c r="J36" s="24" t="s">
        <v>34</v>
      </c>
      <c r="K36" s="28" t="s">
        <v>117</v>
      </c>
      <c r="L36" s="27">
        <v>1</v>
      </c>
      <c r="M36" s="26">
        <v>1500000</v>
      </c>
      <c r="N36" s="26">
        <f t="shared" si="0"/>
        <v>1500000</v>
      </c>
      <c r="O36" s="26"/>
      <c r="P36" s="22"/>
    </row>
    <row r="37" spans="2:16" ht="79.5" thickBot="1" x14ac:dyDescent="0.3">
      <c r="B37" s="22" t="s">
        <v>141</v>
      </c>
      <c r="C37" s="47" t="s">
        <v>129</v>
      </c>
      <c r="D37" s="48" t="s">
        <v>130</v>
      </c>
      <c r="E37" s="22"/>
      <c r="F37" s="22" t="s">
        <v>27</v>
      </c>
      <c r="G37" s="22" t="s">
        <v>75</v>
      </c>
      <c r="H37" s="22" t="s">
        <v>76</v>
      </c>
      <c r="I37" s="22" t="s">
        <v>78</v>
      </c>
      <c r="J37" s="24" t="s">
        <v>34</v>
      </c>
      <c r="K37" s="28" t="s">
        <v>54</v>
      </c>
      <c r="L37" s="27">
        <v>8.9999999999999993E-3</v>
      </c>
      <c r="M37" s="26">
        <v>600000</v>
      </c>
      <c r="N37" s="26">
        <f t="shared" si="0"/>
        <v>5400</v>
      </c>
      <c r="O37" s="26"/>
      <c r="P37" s="22"/>
    </row>
    <row r="38" spans="2:16" ht="79.5" thickBot="1" x14ac:dyDescent="0.3">
      <c r="B38" s="22" t="s">
        <v>145</v>
      </c>
      <c r="C38" s="47" t="s">
        <v>137</v>
      </c>
      <c r="D38" s="48" t="s">
        <v>138</v>
      </c>
      <c r="E38" s="22"/>
      <c r="F38" s="22" t="s">
        <v>27</v>
      </c>
      <c r="G38" s="22" t="s">
        <v>75</v>
      </c>
      <c r="H38" s="22" t="s">
        <v>76</v>
      </c>
      <c r="I38" s="22" t="s">
        <v>78</v>
      </c>
      <c r="J38" s="24" t="s">
        <v>34</v>
      </c>
      <c r="K38" s="28" t="s">
        <v>140</v>
      </c>
      <c r="L38" s="27">
        <v>8</v>
      </c>
      <c r="M38" s="26">
        <v>4000</v>
      </c>
      <c r="N38" s="26">
        <f t="shared" si="0"/>
        <v>32000</v>
      </c>
      <c r="O38" s="26"/>
      <c r="P38" s="22"/>
    </row>
    <row r="39" spans="2:16" ht="90.75" thickBot="1" x14ac:dyDescent="0.3">
      <c r="B39" s="22" t="s">
        <v>146</v>
      </c>
      <c r="C39" s="47" t="s">
        <v>96</v>
      </c>
      <c r="D39" s="48" t="s">
        <v>97</v>
      </c>
      <c r="E39" s="22"/>
      <c r="F39" s="22" t="s">
        <v>74</v>
      </c>
      <c r="G39" s="22" t="s">
        <v>75</v>
      </c>
      <c r="H39" s="22" t="s">
        <v>142</v>
      </c>
      <c r="I39" s="22" t="s">
        <v>78</v>
      </c>
      <c r="J39" s="24" t="s">
        <v>34</v>
      </c>
      <c r="K39" s="28" t="s">
        <v>62</v>
      </c>
      <c r="L39" s="27">
        <v>130</v>
      </c>
      <c r="M39" s="26">
        <v>5000</v>
      </c>
      <c r="N39" s="26">
        <f t="shared" si="0"/>
        <v>650000</v>
      </c>
      <c r="O39" s="26"/>
      <c r="P39" s="22"/>
    </row>
    <row r="40" spans="2:16" ht="79.5" thickBot="1" x14ac:dyDescent="0.3">
      <c r="B40" s="22" t="s">
        <v>147</v>
      </c>
      <c r="C40" s="47" t="s">
        <v>52</v>
      </c>
      <c r="D40" s="48" t="s">
        <v>59</v>
      </c>
      <c r="E40" s="22" t="s">
        <v>143</v>
      </c>
      <c r="F40" s="22" t="s">
        <v>74</v>
      </c>
      <c r="G40" s="22" t="s">
        <v>75</v>
      </c>
      <c r="H40" s="22" t="s">
        <v>142</v>
      </c>
      <c r="I40" s="22" t="s">
        <v>78</v>
      </c>
      <c r="J40" s="24" t="s">
        <v>34</v>
      </c>
      <c r="K40" s="28" t="s">
        <v>117</v>
      </c>
      <c r="L40" s="27">
        <v>275</v>
      </c>
      <c r="M40" s="26">
        <v>680</v>
      </c>
      <c r="N40" s="26">
        <f t="shared" si="0"/>
        <v>187000</v>
      </c>
      <c r="O40" s="26"/>
      <c r="P40" s="22"/>
    </row>
    <row r="41" spans="2:16" ht="79.5" thickBot="1" x14ac:dyDescent="0.3">
      <c r="B41" s="22" t="s">
        <v>148</v>
      </c>
      <c r="C41" s="47" t="s">
        <v>61</v>
      </c>
      <c r="D41" s="48" t="s">
        <v>58</v>
      </c>
      <c r="E41" s="22" t="s">
        <v>144</v>
      </c>
      <c r="F41" s="22" t="s">
        <v>74</v>
      </c>
      <c r="G41" s="22" t="s">
        <v>75</v>
      </c>
      <c r="H41" s="22" t="s">
        <v>142</v>
      </c>
      <c r="I41" s="22" t="s">
        <v>78</v>
      </c>
      <c r="J41" s="24" t="s">
        <v>34</v>
      </c>
      <c r="K41" s="28" t="s">
        <v>54</v>
      </c>
      <c r="L41" s="27">
        <v>0.36</v>
      </c>
      <c r="M41" s="26">
        <v>200000</v>
      </c>
      <c r="N41" s="26">
        <f t="shared" si="0"/>
        <v>72000</v>
      </c>
      <c r="O41" s="26"/>
      <c r="P41" s="22"/>
    </row>
    <row r="42" spans="2:16" ht="79.5" thickBot="1" x14ac:dyDescent="0.3">
      <c r="B42" s="22" t="s">
        <v>156</v>
      </c>
      <c r="C42" s="47" t="s">
        <v>63</v>
      </c>
      <c r="D42" s="48" t="s">
        <v>69</v>
      </c>
      <c r="E42" s="22"/>
      <c r="F42" s="22" t="s">
        <v>74</v>
      </c>
      <c r="G42" s="22" t="s">
        <v>75</v>
      </c>
      <c r="H42" s="22" t="s">
        <v>142</v>
      </c>
      <c r="I42" s="22" t="s">
        <v>78</v>
      </c>
      <c r="J42" s="24" t="s">
        <v>34</v>
      </c>
      <c r="K42" s="28" t="s">
        <v>54</v>
      </c>
      <c r="L42" s="27">
        <v>0.11</v>
      </c>
      <c r="M42" s="26">
        <v>280000</v>
      </c>
      <c r="N42" s="26">
        <f t="shared" si="0"/>
        <v>30800</v>
      </c>
      <c r="O42" s="26"/>
      <c r="P42" s="22"/>
    </row>
    <row r="43" spans="2:16" ht="95.25" thickBot="1" x14ac:dyDescent="0.3">
      <c r="B43" s="22" t="s">
        <v>157</v>
      </c>
      <c r="C43" s="47" t="s">
        <v>52</v>
      </c>
      <c r="D43" s="48" t="s">
        <v>59</v>
      </c>
      <c r="E43" s="22" t="s">
        <v>94</v>
      </c>
      <c r="F43" s="22" t="s">
        <v>74</v>
      </c>
      <c r="G43" s="22" t="s">
        <v>75</v>
      </c>
      <c r="H43" s="22" t="s">
        <v>149</v>
      </c>
      <c r="I43" s="22" t="s">
        <v>78</v>
      </c>
      <c r="J43" s="24" t="s">
        <v>34</v>
      </c>
      <c r="K43" s="48" t="s">
        <v>117</v>
      </c>
      <c r="L43" s="27">
        <v>205</v>
      </c>
      <c r="M43" s="26">
        <v>400</v>
      </c>
      <c r="N43" s="26">
        <f t="shared" si="0"/>
        <v>82000</v>
      </c>
      <c r="O43" s="26"/>
      <c r="P43" s="22"/>
    </row>
    <row r="44" spans="2:16" ht="95.25" thickBot="1" x14ac:dyDescent="0.3">
      <c r="B44" s="22" t="s">
        <v>158</v>
      </c>
      <c r="C44" s="47" t="s">
        <v>61</v>
      </c>
      <c r="D44" s="48" t="s">
        <v>58</v>
      </c>
      <c r="E44" s="22" t="s">
        <v>88</v>
      </c>
      <c r="F44" s="22" t="s">
        <v>74</v>
      </c>
      <c r="G44" s="22" t="s">
        <v>75</v>
      </c>
      <c r="H44" s="22" t="s">
        <v>149</v>
      </c>
      <c r="I44" s="22" t="s">
        <v>78</v>
      </c>
      <c r="J44" s="24" t="s">
        <v>34</v>
      </c>
      <c r="K44" s="28" t="s">
        <v>54</v>
      </c>
      <c r="L44" s="27">
        <v>0.26700000000000002</v>
      </c>
      <c r="M44" s="26">
        <v>265000</v>
      </c>
      <c r="N44" s="26">
        <f t="shared" si="0"/>
        <v>70755</v>
      </c>
      <c r="O44" s="26"/>
      <c r="P44" s="22"/>
    </row>
    <row r="45" spans="2:16" ht="95.25" thickBot="1" x14ac:dyDescent="0.3">
      <c r="B45" s="22" t="s">
        <v>159</v>
      </c>
      <c r="C45" s="47" t="s">
        <v>63</v>
      </c>
      <c r="D45" s="48" t="s">
        <v>69</v>
      </c>
      <c r="E45" s="22"/>
      <c r="F45" s="22" t="s">
        <v>74</v>
      </c>
      <c r="G45" s="22" t="s">
        <v>75</v>
      </c>
      <c r="H45" s="22" t="s">
        <v>149</v>
      </c>
      <c r="I45" s="22" t="s">
        <v>78</v>
      </c>
      <c r="J45" s="24" t="s">
        <v>34</v>
      </c>
      <c r="K45" s="28" t="s">
        <v>54</v>
      </c>
      <c r="L45" s="27">
        <v>0.11</v>
      </c>
      <c r="M45" s="26">
        <v>280000</v>
      </c>
      <c r="N45" s="26">
        <f t="shared" si="0"/>
        <v>30800</v>
      </c>
      <c r="O45" s="26"/>
      <c r="P45" s="22"/>
    </row>
    <row r="46" spans="2:16" ht="95.25" thickBot="1" x14ac:dyDescent="0.3">
      <c r="B46" s="22" t="s">
        <v>160</v>
      </c>
      <c r="C46" s="47" t="s">
        <v>96</v>
      </c>
      <c r="D46" s="48" t="s">
        <v>97</v>
      </c>
      <c r="E46" s="22"/>
      <c r="F46" s="22" t="s">
        <v>74</v>
      </c>
      <c r="G46" s="22" t="s">
        <v>75</v>
      </c>
      <c r="H46" s="22" t="s">
        <v>149</v>
      </c>
      <c r="I46" s="22" t="s">
        <v>78</v>
      </c>
      <c r="J46" s="24" t="s">
        <v>34</v>
      </c>
      <c r="K46" s="28" t="s">
        <v>62</v>
      </c>
      <c r="L46" s="27">
        <v>130</v>
      </c>
      <c r="M46" s="26">
        <v>5000</v>
      </c>
      <c r="N46" s="26">
        <f t="shared" si="0"/>
        <v>650000</v>
      </c>
      <c r="O46" s="26"/>
      <c r="P46" s="22"/>
    </row>
    <row r="47" spans="2:16" ht="95.25" thickBot="1" x14ac:dyDescent="0.3">
      <c r="B47" s="22" t="s">
        <v>161</v>
      </c>
      <c r="C47" s="47" t="s">
        <v>52</v>
      </c>
      <c r="D47" s="48" t="s">
        <v>103</v>
      </c>
      <c r="E47" s="22" t="s">
        <v>150</v>
      </c>
      <c r="F47" s="22" t="s">
        <v>74</v>
      </c>
      <c r="G47" s="22" t="s">
        <v>75</v>
      </c>
      <c r="H47" s="22" t="s">
        <v>149</v>
      </c>
      <c r="I47" s="22" t="s">
        <v>78</v>
      </c>
      <c r="J47" s="24" t="s">
        <v>34</v>
      </c>
      <c r="K47" s="28" t="s">
        <v>105</v>
      </c>
      <c r="L47" s="27">
        <v>10</v>
      </c>
      <c r="M47" s="26">
        <v>450</v>
      </c>
      <c r="N47" s="26">
        <f t="shared" si="0"/>
        <v>4500</v>
      </c>
      <c r="O47" s="26"/>
      <c r="P47" s="22"/>
    </row>
    <row r="48" spans="2:16" ht="95.25" thickBot="1" x14ac:dyDescent="0.3">
      <c r="B48" s="22" t="s">
        <v>162</v>
      </c>
      <c r="C48" s="47" t="s">
        <v>55</v>
      </c>
      <c r="D48" s="48" t="s">
        <v>101</v>
      </c>
      <c r="E48" s="22" t="s">
        <v>106</v>
      </c>
      <c r="F48" s="22" t="s">
        <v>74</v>
      </c>
      <c r="G48" s="22" t="s">
        <v>75</v>
      </c>
      <c r="H48" s="22" t="s">
        <v>149</v>
      </c>
      <c r="I48" s="22" t="s">
        <v>78</v>
      </c>
      <c r="J48" s="24" t="s">
        <v>34</v>
      </c>
      <c r="K48" s="28" t="s">
        <v>54</v>
      </c>
      <c r="L48" s="27">
        <v>5.0000000000000001E-3</v>
      </c>
      <c r="M48" s="26">
        <v>450000</v>
      </c>
      <c r="N48" s="26">
        <f t="shared" si="0"/>
        <v>2250</v>
      </c>
      <c r="O48" s="26"/>
      <c r="P48" s="22"/>
    </row>
    <row r="49" spans="2:16" ht="105.75" thickBot="1" x14ac:dyDescent="0.3">
      <c r="B49" s="22" t="s">
        <v>163</v>
      </c>
      <c r="C49" s="47" t="s">
        <v>118</v>
      </c>
      <c r="D49" s="48" t="s">
        <v>119</v>
      </c>
      <c r="E49" s="22" t="s">
        <v>123</v>
      </c>
      <c r="F49" s="22" t="s">
        <v>74</v>
      </c>
      <c r="G49" s="22" t="s">
        <v>75</v>
      </c>
      <c r="H49" s="22" t="s">
        <v>149</v>
      </c>
      <c r="I49" s="22" t="s">
        <v>78</v>
      </c>
      <c r="J49" s="24" t="s">
        <v>34</v>
      </c>
      <c r="K49" s="28" t="s">
        <v>117</v>
      </c>
      <c r="L49" s="27">
        <v>1</v>
      </c>
      <c r="M49" s="26">
        <v>810000</v>
      </c>
      <c r="N49" s="26">
        <f t="shared" si="0"/>
        <v>810000</v>
      </c>
      <c r="O49" s="26"/>
      <c r="P49" s="22"/>
    </row>
    <row r="50" spans="2:16" ht="95.25" thickBot="1" x14ac:dyDescent="0.3">
      <c r="B50" s="22" t="s">
        <v>164</v>
      </c>
      <c r="C50" s="47" t="s">
        <v>121</v>
      </c>
      <c r="D50" s="48" t="s">
        <v>151</v>
      </c>
      <c r="E50" s="22" t="s">
        <v>123</v>
      </c>
      <c r="F50" s="22" t="s">
        <v>74</v>
      </c>
      <c r="G50" s="22" t="s">
        <v>75</v>
      </c>
      <c r="H50" s="22" t="s">
        <v>149</v>
      </c>
      <c r="I50" s="22" t="s">
        <v>78</v>
      </c>
      <c r="J50" s="24" t="s">
        <v>34</v>
      </c>
      <c r="K50" s="28" t="s">
        <v>62</v>
      </c>
      <c r="L50" s="27">
        <v>1</v>
      </c>
      <c r="M50" s="26">
        <v>1450000</v>
      </c>
      <c r="N50" s="26">
        <f t="shared" si="0"/>
        <v>1450000</v>
      </c>
      <c r="O50" s="26"/>
      <c r="P50" s="22"/>
    </row>
    <row r="51" spans="2:16" ht="95.25" thickBot="1" x14ac:dyDescent="0.3">
      <c r="B51" s="22" t="s">
        <v>165</v>
      </c>
      <c r="C51" s="47" t="s">
        <v>126</v>
      </c>
      <c r="D51" s="48" t="s">
        <v>153</v>
      </c>
      <c r="E51" s="22"/>
      <c r="F51" s="22" t="s">
        <v>74</v>
      </c>
      <c r="G51" s="22" t="s">
        <v>75</v>
      </c>
      <c r="H51" s="22" t="s">
        <v>149</v>
      </c>
      <c r="I51" s="22" t="s">
        <v>78</v>
      </c>
      <c r="J51" s="24" t="s">
        <v>34</v>
      </c>
      <c r="K51" s="28" t="s">
        <v>117</v>
      </c>
      <c r="L51" s="27">
        <v>1</v>
      </c>
      <c r="M51" s="26">
        <v>1500000</v>
      </c>
      <c r="N51" s="26">
        <f t="shared" si="0"/>
        <v>1500000</v>
      </c>
      <c r="O51" s="26"/>
      <c r="P51" s="22"/>
    </row>
    <row r="52" spans="2:16" ht="95.25" thickBot="1" x14ac:dyDescent="0.3">
      <c r="B52" s="22" t="s">
        <v>166</v>
      </c>
      <c r="C52" s="47" t="s">
        <v>137</v>
      </c>
      <c r="D52" s="48" t="s">
        <v>138</v>
      </c>
      <c r="E52" s="22"/>
      <c r="F52" s="22" t="s">
        <v>27</v>
      </c>
      <c r="G52" s="22" t="s">
        <v>75</v>
      </c>
      <c r="H52" s="22" t="s">
        <v>149</v>
      </c>
      <c r="I52" s="22" t="s">
        <v>78</v>
      </c>
      <c r="J52" s="24" t="s">
        <v>34</v>
      </c>
      <c r="K52" s="28" t="s">
        <v>140</v>
      </c>
      <c r="L52" s="27">
        <v>3</v>
      </c>
      <c r="M52" s="26">
        <v>4000</v>
      </c>
      <c r="N52" s="26">
        <f t="shared" si="0"/>
        <v>12000</v>
      </c>
      <c r="O52" s="26"/>
      <c r="P52" s="22"/>
    </row>
    <row r="53" spans="2:16" ht="90.75" thickBot="1" x14ac:dyDescent="0.3">
      <c r="B53" s="22" t="s">
        <v>167</v>
      </c>
      <c r="C53" s="47" t="s">
        <v>96</v>
      </c>
      <c r="D53" s="48" t="s">
        <v>97</v>
      </c>
      <c r="E53" s="22"/>
      <c r="F53" s="22" t="s">
        <v>74</v>
      </c>
      <c r="G53" s="22" t="s">
        <v>75</v>
      </c>
      <c r="H53" s="22" t="s">
        <v>177</v>
      </c>
      <c r="I53" s="22" t="s">
        <v>78</v>
      </c>
      <c r="J53" s="24" t="s">
        <v>34</v>
      </c>
      <c r="K53" s="28" t="s">
        <v>62</v>
      </c>
      <c r="L53" s="27">
        <v>70</v>
      </c>
      <c r="M53" s="26">
        <v>5000</v>
      </c>
      <c r="N53" s="26">
        <f t="shared" si="0"/>
        <v>350000</v>
      </c>
      <c r="O53" s="26"/>
      <c r="P53" s="22"/>
    </row>
    <row r="54" spans="2:16" ht="79.5" thickBot="1" x14ac:dyDescent="0.3">
      <c r="B54" s="22" t="s">
        <v>168</v>
      </c>
      <c r="C54" s="47" t="s">
        <v>61</v>
      </c>
      <c r="D54" s="48" t="s">
        <v>58</v>
      </c>
      <c r="E54" s="22" t="s">
        <v>144</v>
      </c>
      <c r="F54" s="22" t="s">
        <v>74</v>
      </c>
      <c r="G54" s="22" t="s">
        <v>75</v>
      </c>
      <c r="H54" s="22" t="s">
        <v>177</v>
      </c>
      <c r="I54" s="22" t="s">
        <v>78</v>
      </c>
      <c r="J54" s="24" t="s">
        <v>34</v>
      </c>
      <c r="K54" s="28" t="s">
        <v>54</v>
      </c>
      <c r="L54" s="27">
        <v>0.27</v>
      </c>
      <c r="M54" s="26">
        <v>200000</v>
      </c>
      <c r="N54" s="26">
        <f t="shared" si="0"/>
        <v>54000</v>
      </c>
      <c r="O54" s="26"/>
      <c r="P54" s="22"/>
    </row>
    <row r="55" spans="2:16" ht="79.5" thickBot="1" x14ac:dyDescent="0.3">
      <c r="B55" s="22" t="s">
        <v>169</v>
      </c>
      <c r="C55" s="47" t="s">
        <v>64</v>
      </c>
      <c r="D55" s="48" t="s">
        <v>89</v>
      </c>
      <c r="E55" s="22" t="s">
        <v>144</v>
      </c>
      <c r="F55" s="22" t="s">
        <v>74</v>
      </c>
      <c r="G55" s="22" t="s">
        <v>75</v>
      </c>
      <c r="H55" s="22" t="s">
        <v>177</v>
      </c>
      <c r="I55" s="22" t="s">
        <v>78</v>
      </c>
      <c r="J55" s="24" t="s">
        <v>34</v>
      </c>
      <c r="K55" s="28" t="s">
        <v>62</v>
      </c>
      <c r="L55" s="27">
        <v>170</v>
      </c>
      <c r="M55" s="26">
        <v>331</v>
      </c>
      <c r="N55" s="26">
        <f t="shared" si="0"/>
        <v>56270</v>
      </c>
      <c r="O55" s="26"/>
      <c r="P55" s="22"/>
    </row>
    <row r="56" spans="2:16" ht="79.5" thickBot="1" x14ac:dyDescent="0.3">
      <c r="B56" s="22" t="s">
        <v>170</v>
      </c>
      <c r="C56" s="47" t="s">
        <v>63</v>
      </c>
      <c r="D56" s="48" t="s">
        <v>69</v>
      </c>
      <c r="E56" s="22"/>
      <c r="F56" s="22" t="s">
        <v>74</v>
      </c>
      <c r="G56" s="22" t="s">
        <v>75</v>
      </c>
      <c r="H56" s="22" t="s">
        <v>177</v>
      </c>
      <c r="I56" s="22" t="s">
        <v>78</v>
      </c>
      <c r="J56" s="24" t="s">
        <v>34</v>
      </c>
      <c r="K56" s="28" t="s">
        <v>54</v>
      </c>
      <c r="L56" s="27">
        <v>0.5</v>
      </c>
      <c r="M56" s="26">
        <v>280000</v>
      </c>
      <c r="N56" s="26">
        <f t="shared" si="0"/>
        <v>140000</v>
      </c>
      <c r="O56" s="26"/>
      <c r="P56" s="22"/>
    </row>
    <row r="57" spans="2:16" ht="79.5" thickBot="1" x14ac:dyDescent="0.3">
      <c r="B57" s="22" t="s">
        <v>171</v>
      </c>
      <c r="C57" s="47" t="s">
        <v>91</v>
      </c>
      <c r="D57" s="48" t="s">
        <v>92</v>
      </c>
      <c r="E57" s="22" t="s">
        <v>155</v>
      </c>
      <c r="F57" s="22" t="s">
        <v>74</v>
      </c>
      <c r="G57" s="22" t="s">
        <v>75</v>
      </c>
      <c r="H57" s="22" t="s">
        <v>177</v>
      </c>
      <c r="I57" s="22" t="s">
        <v>78</v>
      </c>
      <c r="J57" s="24" t="s">
        <v>34</v>
      </c>
      <c r="K57" s="28" t="s">
        <v>54</v>
      </c>
      <c r="L57" s="27">
        <v>0.31</v>
      </c>
      <c r="M57" s="26">
        <v>290000</v>
      </c>
      <c r="N57" s="26">
        <f t="shared" si="0"/>
        <v>89900</v>
      </c>
      <c r="O57" s="26"/>
      <c r="P57" s="22"/>
    </row>
    <row r="58" spans="2:16" ht="78.75" x14ac:dyDescent="0.25">
      <c r="B58" s="89" t="s">
        <v>172</v>
      </c>
      <c r="C58" s="90" t="s">
        <v>137</v>
      </c>
      <c r="D58" s="91" t="s">
        <v>138</v>
      </c>
      <c r="E58" s="89"/>
      <c r="F58" s="89" t="s">
        <v>27</v>
      </c>
      <c r="G58" s="89" t="s">
        <v>75</v>
      </c>
      <c r="H58" s="89" t="s">
        <v>177</v>
      </c>
      <c r="I58" s="89" t="s">
        <v>78</v>
      </c>
      <c r="J58" s="92" t="s">
        <v>34</v>
      </c>
      <c r="K58" s="28" t="s">
        <v>140</v>
      </c>
      <c r="L58" s="93">
        <v>40</v>
      </c>
      <c r="M58" s="94">
        <v>4000</v>
      </c>
      <c r="N58" s="94">
        <f t="shared" si="0"/>
        <v>160000</v>
      </c>
      <c r="O58" s="94"/>
      <c r="P58" s="89"/>
    </row>
    <row r="59" spans="2:16" x14ac:dyDescent="0.25">
      <c r="B59" s="95"/>
      <c r="C59" s="95"/>
      <c r="D59" s="95"/>
      <c r="E59" s="95"/>
      <c r="F59" s="95"/>
      <c r="G59" s="95"/>
      <c r="H59" s="95"/>
      <c r="I59" s="95"/>
      <c r="J59" s="96"/>
      <c r="K59" s="95"/>
      <c r="L59" s="95"/>
      <c r="M59" s="95"/>
      <c r="N59" s="97">
        <f>SUM(N16:N58)</f>
        <v>11085192</v>
      </c>
      <c r="O59" s="99">
        <v>11102000</v>
      </c>
      <c r="P59" s="99">
        <v>11098770</v>
      </c>
    </row>
    <row r="60" spans="2:16" ht="18.75" x14ac:dyDescent="0.25">
      <c r="C60" s="50"/>
    </row>
    <row r="63" spans="2:16" x14ac:dyDescent="0.25">
      <c r="N63" s="52"/>
    </row>
    <row r="64" spans="2:16" x14ac:dyDescent="0.25">
      <c r="D64" s="52"/>
    </row>
    <row r="70" spans="3:3" x14ac:dyDescent="0.25">
      <c r="C70" s="51"/>
    </row>
    <row r="71" spans="3:3" x14ac:dyDescent="0.25">
      <c r="C71" s="51"/>
    </row>
  </sheetData>
  <mergeCells count="3">
    <mergeCell ref="B4:P4"/>
    <mergeCell ref="N6:P6"/>
    <mergeCell ref="B15:P1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6"/>
  <sheetViews>
    <sheetView topLeftCell="A10" workbookViewId="0">
      <selection activeCell="H29" sqref="H29"/>
    </sheetView>
  </sheetViews>
  <sheetFormatPr defaultRowHeight="15" x14ac:dyDescent="0.25"/>
  <cols>
    <col min="3" max="3" width="7.42578125" style="21" customWidth="1"/>
    <col min="4" max="4" width="27.28515625" style="21" customWidth="1"/>
    <col min="5" max="5" width="34.140625" style="21" customWidth="1"/>
    <col min="6" max="6" width="11.42578125" style="21" customWidth="1"/>
    <col min="7" max="7" width="19.5703125" style="21" customWidth="1"/>
    <col min="8" max="8" width="26.28515625" style="21" customWidth="1"/>
    <col min="9" max="9" width="15" style="21" customWidth="1"/>
    <col min="10" max="10" width="16.42578125" style="3" customWidth="1"/>
    <col min="11" max="11" width="10.85546875" style="21" customWidth="1"/>
    <col min="12" max="12" width="12.5703125" style="21" customWidth="1"/>
    <col min="13" max="13" width="16.5703125" style="21" customWidth="1"/>
    <col min="14" max="14" width="20.28515625" style="21" customWidth="1"/>
    <col min="15" max="15" width="20" style="21" customWidth="1"/>
    <col min="16" max="16" width="11" style="21" customWidth="1"/>
  </cols>
  <sheetData>
    <row r="1" spans="3:16" ht="15.75" thickBot="1" x14ac:dyDescent="0.3">
      <c r="D1" s="52"/>
      <c r="E1" s="52"/>
      <c r="F1" s="52"/>
      <c r="G1" s="52"/>
      <c r="H1" s="52"/>
      <c r="I1" s="52"/>
      <c r="K1" s="52"/>
      <c r="M1" s="52"/>
      <c r="O1" s="52"/>
      <c r="P1" s="52"/>
    </row>
    <row r="2" spans="3:16" ht="15.75" thickBot="1" x14ac:dyDescent="0.3">
      <c r="D2" s="49"/>
      <c r="E2" s="49"/>
      <c r="F2" s="49"/>
      <c r="G2" s="49"/>
      <c r="H2" s="49"/>
      <c r="I2" s="49"/>
      <c r="J2" s="5"/>
      <c r="K2" s="52"/>
      <c r="M2" s="52"/>
      <c r="O2" s="52"/>
      <c r="P2" s="52"/>
    </row>
    <row r="3" spans="3:16" x14ac:dyDescent="0.25">
      <c r="I3" s="52"/>
      <c r="O3" s="52"/>
      <c r="P3" s="52"/>
    </row>
    <row r="4" spans="3:16" x14ac:dyDescent="0.25">
      <c r="C4" s="175" t="s">
        <v>66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3:16" x14ac:dyDescent="0.25">
      <c r="D5" s="6"/>
      <c r="E5" s="6"/>
      <c r="F5" s="6"/>
      <c r="G5" s="6"/>
      <c r="H5" s="6"/>
      <c r="I5" s="6"/>
      <c r="J5" s="8"/>
      <c r="K5" s="6"/>
      <c r="L5" s="6"/>
      <c r="M5" s="6"/>
      <c r="N5" s="6"/>
      <c r="O5" s="6"/>
      <c r="P5" s="10"/>
    </row>
    <row r="6" spans="3:16" x14ac:dyDescent="0.25">
      <c r="G6" s="52"/>
      <c r="H6" s="52"/>
      <c r="I6" s="52"/>
      <c r="K6" s="52"/>
      <c r="L6" s="52"/>
      <c r="N6" s="171" t="s">
        <v>67</v>
      </c>
      <c r="O6" s="171"/>
      <c r="P6" s="171"/>
    </row>
    <row r="7" spans="3:16" x14ac:dyDescent="0.25">
      <c r="G7" s="52"/>
      <c r="H7" s="52"/>
      <c r="I7" s="52"/>
      <c r="K7" s="52"/>
      <c r="L7" s="52"/>
      <c r="N7" s="6"/>
      <c r="O7" s="6"/>
      <c r="P7" s="10"/>
    </row>
    <row r="8" spans="3:16" x14ac:dyDescent="0.25">
      <c r="C8" s="52"/>
      <c r="D8" s="52"/>
      <c r="E8" s="52"/>
      <c r="F8" s="52"/>
      <c r="G8" s="52"/>
      <c r="H8" s="52"/>
      <c r="I8" s="52"/>
      <c r="J8" s="12"/>
      <c r="K8" s="52"/>
      <c r="L8" s="52"/>
      <c r="M8" s="52"/>
      <c r="N8" s="52"/>
      <c r="O8" s="52"/>
      <c r="P8" s="52"/>
    </row>
    <row r="9" spans="3:16" x14ac:dyDescent="0.25">
      <c r="E9" s="13"/>
      <c r="G9" s="52"/>
      <c r="H9" s="52"/>
      <c r="I9" s="52"/>
      <c r="K9" s="52"/>
      <c r="L9" s="52"/>
      <c r="M9" s="6"/>
      <c r="N9" s="6"/>
      <c r="O9" s="6"/>
      <c r="P9" s="10"/>
    </row>
    <row r="11" spans="3:16" x14ac:dyDescent="0.25">
      <c r="C11" s="52"/>
    </row>
    <row r="12" spans="3:16" ht="15.75" thickBot="1" x14ac:dyDescent="0.3">
      <c r="D12" s="52"/>
      <c r="E12" s="52"/>
      <c r="F12" s="52"/>
      <c r="G12" s="52"/>
      <c r="H12" s="52"/>
      <c r="I12" s="52"/>
      <c r="J12" s="15"/>
      <c r="K12" s="52"/>
      <c r="L12" s="52"/>
      <c r="M12" s="52"/>
      <c r="N12" s="52"/>
      <c r="O12" s="52"/>
      <c r="P12" s="52"/>
    </row>
    <row r="13" spans="3:16" ht="126" x14ac:dyDescent="0.25">
      <c r="C13" s="29" t="s">
        <v>1</v>
      </c>
      <c r="D13" s="31" t="s">
        <v>4</v>
      </c>
      <c r="E13" s="30" t="s">
        <v>5</v>
      </c>
      <c r="F13" s="30" t="s">
        <v>7</v>
      </c>
      <c r="G13" s="30" t="s">
        <v>11</v>
      </c>
      <c r="H13" s="30" t="s">
        <v>12</v>
      </c>
      <c r="I13" s="30" t="s">
        <v>14</v>
      </c>
      <c r="J13" s="33" t="s">
        <v>15</v>
      </c>
      <c r="K13" s="30" t="s">
        <v>17</v>
      </c>
      <c r="L13" s="30" t="s">
        <v>18</v>
      </c>
      <c r="M13" s="30" t="s">
        <v>19</v>
      </c>
      <c r="N13" s="30" t="s">
        <v>20</v>
      </c>
      <c r="O13" s="80" t="s">
        <v>432</v>
      </c>
      <c r="P13" s="80" t="s">
        <v>433</v>
      </c>
    </row>
    <row r="14" spans="3:16" ht="16.5" thickBot="1" x14ac:dyDescent="0.3">
      <c r="C14" s="34">
        <v>1</v>
      </c>
      <c r="D14" s="36">
        <v>4</v>
      </c>
      <c r="E14" s="35">
        <v>5</v>
      </c>
      <c r="F14" s="35">
        <v>7</v>
      </c>
      <c r="G14" s="35">
        <v>11</v>
      </c>
      <c r="H14" s="35">
        <v>12</v>
      </c>
      <c r="I14" s="35">
        <v>14</v>
      </c>
      <c r="J14" s="38">
        <v>15</v>
      </c>
      <c r="K14" s="35">
        <v>17</v>
      </c>
      <c r="L14" s="35">
        <v>18</v>
      </c>
      <c r="M14" s="35">
        <v>19</v>
      </c>
      <c r="N14" s="35">
        <v>20</v>
      </c>
      <c r="O14" s="35">
        <v>21</v>
      </c>
      <c r="P14" s="35">
        <v>22</v>
      </c>
    </row>
    <row r="15" spans="3:16" ht="16.5" thickBot="1" x14ac:dyDescent="0.3">
      <c r="C15" s="191" t="s">
        <v>25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</row>
    <row r="16" spans="3:16" ht="79.5" thickBot="1" x14ac:dyDescent="0.3">
      <c r="C16" s="22" t="s">
        <v>173</v>
      </c>
      <c r="D16" s="53" t="s">
        <v>174</v>
      </c>
      <c r="E16" s="54" t="s">
        <v>175</v>
      </c>
      <c r="F16" s="22" t="s">
        <v>27</v>
      </c>
      <c r="G16" s="22" t="s">
        <v>178</v>
      </c>
      <c r="H16" s="22" t="s">
        <v>142</v>
      </c>
      <c r="I16" s="22" t="s">
        <v>78</v>
      </c>
      <c r="J16" s="24" t="s">
        <v>34</v>
      </c>
      <c r="K16" s="28" t="s">
        <v>62</v>
      </c>
      <c r="L16" s="27">
        <v>1</v>
      </c>
      <c r="M16" s="26">
        <v>165000</v>
      </c>
      <c r="N16" s="26">
        <f t="shared" ref="N16" si="0">L16*M16</f>
        <v>165000</v>
      </c>
      <c r="O16" s="26">
        <v>492000</v>
      </c>
      <c r="P16" s="22"/>
    </row>
  </sheetData>
  <mergeCells count="3">
    <mergeCell ref="C4:P4"/>
    <mergeCell ref="N6:P6"/>
    <mergeCell ref="C15:P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topLeftCell="A17" workbookViewId="0">
      <selection activeCell="F36" sqref="F36"/>
    </sheetView>
  </sheetViews>
  <sheetFormatPr defaultRowHeight="15" x14ac:dyDescent="0.25"/>
  <cols>
    <col min="2" max="2" width="7.42578125" style="21" customWidth="1"/>
    <col min="3" max="3" width="27.28515625" style="21" customWidth="1"/>
    <col min="4" max="4" width="34.140625" style="21" customWidth="1"/>
    <col min="5" max="5" width="11.42578125" style="21" customWidth="1"/>
    <col min="6" max="6" width="19.5703125" style="21" customWidth="1"/>
    <col min="7" max="7" width="26.28515625" style="21" customWidth="1"/>
    <col min="8" max="8" width="15" style="21" customWidth="1"/>
    <col min="9" max="9" width="16.42578125" style="3" customWidth="1"/>
    <col min="10" max="10" width="10.85546875" style="21" customWidth="1"/>
    <col min="11" max="11" width="12.5703125" style="21" customWidth="1"/>
    <col min="12" max="12" width="16.5703125" style="21" customWidth="1"/>
    <col min="13" max="13" width="20.28515625" style="21" customWidth="1"/>
    <col min="14" max="14" width="20" style="21" customWidth="1"/>
    <col min="15" max="15" width="11" style="21" customWidth="1"/>
  </cols>
  <sheetData>
    <row r="1" spans="2:15" x14ac:dyDescent="0.25">
      <c r="C1" s="64"/>
      <c r="D1" s="64"/>
      <c r="E1" s="64"/>
      <c r="F1" s="64"/>
      <c r="G1" s="64"/>
      <c r="H1" s="64"/>
      <c r="J1" s="64"/>
      <c r="L1" s="64"/>
      <c r="N1" s="64"/>
      <c r="O1" s="64"/>
    </row>
    <row r="3" spans="2:15" x14ac:dyDescent="0.25">
      <c r="B3" s="64"/>
    </row>
    <row r="4" spans="2:15" ht="15.75" thickBot="1" x14ac:dyDescent="0.3">
      <c r="C4" s="64"/>
      <c r="D4" s="64"/>
      <c r="E4" s="64"/>
      <c r="F4" s="64"/>
      <c r="G4" s="64"/>
      <c r="H4" s="64"/>
      <c r="I4" s="15"/>
      <c r="J4" s="64"/>
      <c r="K4" s="64"/>
      <c r="L4" s="64"/>
      <c r="M4" s="64"/>
      <c r="N4" s="64"/>
      <c r="O4" s="64"/>
    </row>
    <row r="5" spans="2:15" ht="126" x14ac:dyDescent="0.25">
      <c r="B5" s="29" t="s">
        <v>1</v>
      </c>
      <c r="C5" s="31" t="s">
        <v>4</v>
      </c>
      <c r="D5" s="30" t="s">
        <v>5</v>
      </c>
      <c r="E5" s="30" t="s">
        <v>7</v>
      </c>
      <c r="F5" s="30" t="s">
        <v>11</v>
      </c>
      <c r="G5" s="30" t="s">
        <v>12</v>
      </c>
      <c r="H5" s="30" t="s">
        <v>14</v>
      </c>
      <c r="I5" s="33" t="s">
        <v>15</v>
      </c>
      <c r="J5" s="30" t="s">
        <v>17</v>
      </c>
      <c r="K5" s="30" t="s">
        <v>18</v>
      </c>
      <c r="L5" s="30" t="s">
        <v>19</v>
      </c>
      <c r="M5" s="30" t="s">
        <v>20</v>
      </c>
      <c r="N5" s="80" t="s">
        <v>432</v>
      </c>
      <c r="O5" s="80" t="s">
        <v>433</v>
      </c>
    </row>
    <row r="6" spans="2:15" ht="16.5" thickBot="1" x14ac:dyDescent="0.3">
      <c r="B6" s="34">
        <v>1</v>
      </c>
      <c r="C6" s="36">
        <v>4</v>
      </c>
      <c r="D6" s="35">
        <v>5</v>
      </c>
      <c r="E6" s="35">
        <v>7</v>
      </c>
      <c r="F6" s="35">
        <v>11</v>
      </c>
      <c r="G6" s="35">
        <v>12</v>
      </c>
      <c r="H6" s="35">
        <v>14</v>
      </c>
      <c r="I6" s="38">
        <v>15</v>
      </c>
      <c r="J6" s="35">
        <v>17</v>
      </c>
      <c r="K6" s="35">
        <v>18</v>
      </c>
      <c r="L6" s="35">
        <v>19</v>
      </c>
      <c r="M6" s="35">
        <v>20</v>
      </c>
      <c r="N6" s="35">
        <v>21</v>
      </c>
      <c r="O6" s="35">
        <v>22</v>
      </c>
    </row>
    <row r="7" spans="2:15" ht="16.5" thickBot="1" x14ac:dyDescent="0.3">
      <c r="B7" s="191" t="s">
        <v>25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</row>
    <row r="8" spans="2:15" ht="95.25" thickBot="1" x14ac:dyDescent="0.3">
      <c r="B8" s="22" t="s">
        <v>303</v>
      </c>
      <c r="C8" s="53" t="s">
        <v>179</v>
      </c>
      <c r="D8" s="54" t="s">
        <v>180</v>
      </c>
      <c r="E8" s="22" t="s">
        <v>27</v>
      </c>
      <c r="F8" s="22" t="s">
        <v>178</v>
      </c>
      <c r="G8" s="22" t="s">
        <v>182</v>
      </c>
      <c r="H8" s="22" t="s">
        <v>78</v>
      </c>
      <c r="I8" s="24" t="s">
        <v>34</v>
      </c>
      <c r="J8" s="28" t="s">
        <v>62</v>
      </c>
      <c r="K8" s="27">
        <v>22</v>
      </c>
      <c r="L8" s="26">
        <v>1320</v>
      </c>
      <c r="M8" s="26">
        <f t="shared" ref="M8:M17" si="0">K8*L8</f>
        <v>29040</v>
      </c>
      <c r="N8" s="26"/>
      <c r="O8" s="22"/>
    </row>
    <row r="9" spans="2:15" ht="95.25" thickBot="1" x14ac:dyDescent="0.3">
      <c r="B9" s="22" t="s">
        <v>304</v>
      </c>
      <c r="C9" s="53" t="s">
        <v>183</v>
      </c>
      <c r="D9" s="54" t="s">
        <v>184</v>
      </c>
      <c r="E9" s="22" t="s">
        <v>27</v>
      </c>
      <c r="F9" s="22" t="s">
        <v>178</v>
      </c>
      <c r="G9" s="22" t="s">
        <v>182</v>
      </c>
      <c r="H9" s="22" t="s">
        <v>78</v>
      </c>
      <c r="I9" s="24" t="s">
        <v>34</v>
      </c>
      <c r="J9" s="28" t="s">
        <v>62</v>
      </c>
      <c r="K9" s="27">
        <v>11</v>
      </c>
      <c r="L9" s="26">
        <v>5000</v>
      </c>
      <c r="M9" s="26">
        <f t="shared" si="0"/>
        <v>55000</v>
      </c>
      <c r="N9" s="26"/>
      <c r="O9" s="22"/>
    </row>
    <row r="10" spans="2:15" ht="95.25" thickBot="1" x14ac:dyDescent="0.3">
      <c r="B10" s="22" t="s">
        <v>305</v>
      </c>
      <c r="C10" s="53" t="s">
        <v>186</v>
      </c>
      <c r="D10" s="54" t="s">
        <v>187</v>
      </c>
      <c r="E10" s="22" t="s">
        <v>27</v>
      </c>
      <c r="F10" s="22" t="s">
        <v>178</v>
      </c>
      <c r="G10" s="22" t="s">
        <v>182</v>
      </c>
      <c r="H10" s="22" t="s">
        <v>78</v>
      </c>
      <c r="I10" s="24" t="s">
        <v>34</v>
      </c>
      <c r="J10" s="28" t="s">
        <v>117</v>
      </c>
      <c r="K10" s="27">
        <v>11</v>
      </c>
      <c r="L10" s="26">
        <v>6500</v>
      </c>
      <c r="M10" s="26">
        <f t="shared" si="0"/>
        <v>71500</v>
      </c>
      <c r="N10" s="26"/>
      <c r="O10" s="22"/>
    </row>
    <row r="11" spans="2:15" ht="95.25" thickBot="1" x14ac:dyDescent="0.3">
      <c r="B11" s="22" t="s">
        <v>306</v>
      </c>
      <c r="C11" s="53" t="s">
        <v>189</v>
      </c>
      <c r="D11" s="54" t="s">
        <v>190</v>
      </c>
      <c r="E11" s="22" t="s">
        <v>27</v>
      </c>
      <c r="F11" s="22" t="s">
        <v>178</v>
      </c>
      <c r="G11" s="22" t="s">
        <v>182</v>
      </c>
      <c r="H11" s="22" t="s">
        <v>78</v>
      </c>
      <c r="I11" s="24" t="s">
        <v>34</v>
      </c>
      <c r="J11" s="28" t="s">
        <v>62</v>
      </c>
      <c r="K11" s="27">
        <v>5</v>
      </c>
      <c r="L11" s="26">
        <v>700</v>
      </c>
      <c r="M11" s="26">
        <f t="shared" si="0"/>
        <v>3500</v>
      </c>
      <c r="N11" s="26"/>
      <c r="O11" s="22"/>
    </row>
    <row r="12" spans="2:15" ht="95.25" thickBot="1" x14ac:dyDescent="0.3">
      <c r="B12" s="22" t="s">
        <v>307</v>
      </c>
      <c r="C12" s="53" t="s">
        <v>192</v>
      </c>
      <c r="D12" s="54" t="s">
        <v>193</v>
      </c>
      <c r="E12" s="22" t="s">
        <v>27</v>
      </c>
      <c r="F12" s="22" t="s">
        <v>178</v>
      </c>
      <c r="G12" s="22" t="s">
        <v>182</v>
      </c>
      <c r="H12" s="22" t="s">
        <v>78</v>
      </c>
      <c r="I12" s="24" t="s">
        <v>34</v>
      </c>
      <c r="J12" s="55" t="s">
        <v>194</v>
      </c>
      <c r="K12" s="27">
        <v>30</v>
      </c>
      <c r="L12" s="26">
        <v>200</v>
      </c>
      <c r="M12" s="26">
        <f t="shared" si="0"/>
        <v>6000</v>
      </c>
      <c r="N12" s="26"/>
      <c r="O12" s="22"/>
    </row>
    <row r="13" spans="2:15" ht="95.25" thickBot="1" x14ac:dyDescent="0.3">
      <c r="B13" s="22" t="s">
        <v>308</v>
      </c>
      <c r="C13" s="53" t="s">
        <v>192</v>
      </c>
      <c r="D13" s="54" t="s">
        <v>195</v>
      </c>
      <c r="E13" s="22" t="s">
        <v>27</v>
      </c>
      <c r="F13" s="22" t="s">
        <v>178</v>
      </c>
      <c r="G13" s="22" t="s">
        <v>182</v>
      </c>
      <c r="H13" s="22" t="s">
        <v>78</v>
      </c>
      <c r="I13" s="24" t="s">
        <v>34</v>
      </c>
      <c r="J13" s="55" t="s">
        <v>194</v>
      </c>
      <c r="K13" s="27">
        <v>15</v>
      </c>
      <c r="L13" s="26">
        <v>1300</v>
      </c>
      <c r="M13" s="26">
        <f t="shared" si="0"/>
        <v>19500</v>
      </c>
      <c r="N13" s="26"/>
      <c r="O13" s="22"/>
    </row>
    <row r="14" spans="2:15" ht="95.25" thickBot="1" x14ac:dyDescent="0.3">
      <c r="B14" s="22" t="s">
        <v>309</v>
      </c>
      <c r="C14" s="53" t="s">
        <v>197</v>
      </c>
      <c r="D14" s="54" t="s">
        <v>198</v>
      </c>
      <c r="E14" s="22" t="s">
        <v>27</v>
      </c>
      <c r="F14" s="22" t="s">
        <v>178</v>
      </c>
      <c r="G14" s="22" t="s">
        <v>182</v>
      </c>
      <c r="H14" s="22" t="s">
        <v>78</v>
      </c>
      <c r="I14" s="24" t="s">
        <v>34</v>
      </c>
      <c r="J14" s="28" t="s">
        <v>117</v>
      </c>
      <c r="K14" s="27">
        <v>10</v>
      </c>
      <c r="L14" s="26">
        <v>10000</v>
      </c>
      <c r="M14" s="26">
        <f t="shared" si="0"/>
        <v>100000</v>
      </c>
      <c r="N14" s="26"/>
      <c r="O14" s="22"/>
    </row>
    <row r="15" spans="2:15" ht="95.25" thickBot="1" x14ac:dyDescent="0.3">
      <c r="B15" s="22" t="s">
        <v>310</v>
      </c>
      <c r="C15" s="53" t="s">
        <v>200</v>
      </c>
      <c r="D15" s="54" t="s">
        <v>201</v>
      </c>
      <c r="E15" s="22" t="s">
        <v>27</v>
      </c>
      <c r="F15" s="22" t="s">
        <v>178</v>
      </c>
      <c r="G15" s="22" t="s">
        <v>182</v>
      </c>
      <c r="H15" s="22" t="s">
        <v>78</v>
      </c>
      <c r="I15" s="24" t="s">
        <v>34</v>
      </c>
      <c r="J15" s="55" t="s">
        <v>194</v>
      </c>
      <c r="K15" s="27">
        <v>5</v>
      </c>
      <c r="L15" s="26">
        <v>7000</v>
      </c>
      <c r="M15" s="26">
        <f t="shared" si="0"/>
        <v>35000</v>
      </c>
      <c r="N15" s="26"/>
      <c r="O15" s="22"/>
    </row>
    <row r="16" spans="2:15" ht="95.25" thickBot="1" x14ac:dyDescent="0.3">
      <c r="B16" s="22" t="s">
        <v>311</v>
      </c>
      <c r="C16" s="53" t="s">
        <v>200</v>
      </c>
      <c r="D16" s="54" t="s">
        <v>203</v>
      </c>
      <c r="E16" s="22" t="s">
        <v>27</v>
      </c>
      <c r="F16" s="22" t="s">
        <v>178</v>
      </c>
      <c r="G16" s="22" t="s">
        <v>182</v>
      </c>
      <c r="H16" s="22" t="s">
        <v>78</v>
      </c>
      <c r="I16" s="24" t="s">
        <v>34</v>
      </c>
      <c r="J16" s="55" t="s">
        <v>194</v>
      </c>
      <c r="K16" s="27">
        <v>11</v>
      </c>
      <c r="L16" s="26">
        <v>5000</v>
      </c>
      <c r="M16" s="26">
        <f t="shared" si="0"/>
        <v>55000</v>
      </c>
      <c r="N16" s="26"/>
      <c r="O16" s="22"/>
    </row>
    <row r="17" spans="2:15" ht="94.5" x14ac:dyDescent="0.25">
      <c r="B17" s="89" t="s">
        <v>312</v>
      </c>
      <c r="C17" s="100" t="s">
        <v>205</v>
      </c>
      <c r="D17" s="101" t="s">
        <v>206</v>
      </c>
      <c r="E17" s="89" t="s">
        <v>27</v>
      </c>
      <c r="F17" s="89" t="s">
        <v>178</v>
      </c>
      <c r="G17" s="89" t="s">
        <v>182</v>
      </c>
      <c r="H17" s="89" t="s">
        <v>78</v>
      </c>
      <c r="I17" s="92" t="s">
        <v>34</v>
      </c>
      <c r="J17" s="28" t="s">
        <v>62</v>
      </c>
      <c r="K17" s="93">
        <v>7</v>
      </c>
      <c r="L17" s="94">
        <v>1500</v>
      </c>
      <c r="M17" s="94">
        <f t="shared" si="0"/>
        <v>10500</v>
      </c>
      <c r="N17" s="94"/>
      <c r="O17" s="89"/>
    </row>
    <row r="18" spans="2:15" ht="18.75" x14ac:dyDescent="0.25">
      <c r="B18" s="95"/>
      <c r="C18" s="95"/>
      <c r="D18" s="95"/>
      <c r="E18" s="95"/>
      <c r="F18" s="95"/>
      <c r="G18" s="95"/>
      <c r="H18" s="95"/>
      <c r="I18" s="96"/>
      <c r="J18" s="95"/>
      <c r="K18" s="95"/>
      <c r="L18" s="95"/>
      <c r="M18" s="102">
        <f>SUM(M8:M17)</f>
        <v>385040</v>
      </c>
      <c r="N18" s="103">
        <v>441000</v>
      </c>
      <c r="O18" s="103">
        <v>441300</v>
      </c>
    </row>
    <row r="24" spans="2:15" x14ac:dyDescent="0.25">
      <c r="C24" s="62"/>
    </row>
    <row r="25" spans="2:15" x14ac:dyDescent="0.25">
      <c r="C25" s="62"/>
    </row>
  </sheetData>
  <mergeCells count="1">
    <mergeCell ref="B7: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opLeftCell="B46" workbookViewId="0">
      <selection activeCell="H56" sqref="H56"/>
    </sheetView>
  </sheetViews>
  <sheetFormatPr defaultRowHeight="15" outlineLevelRow="1" x14ac:dyDescent="0.25"/>
  <cols>
    <col min="2" max="2" width="7.42578125" style="21" customWidth="1"/>
    <col min="3" max="3" width="27.28515625" style="21" customWidth="1"/>
    <col min="4" max="4" width="34.140625" style="21" customWidth="1"/>
    <col min="5" max="5" width="11.42578125" style="21" customWidth="1"/>
    <col min="6" max="6" width="19.5703125" style="21" customWidth="1"/>
    <col min="7" max="7" width="26.28515625" style="21" customWidth="1"/>
    <col min="8" max="8" width="15" style="21" customWidth="1"/>
    <col min="9" max="9" width="16.42578125" style="3" customWidth="1"/>
    <col min="10" max="10" width="10.85546875" style="21" customWidth="1"/>
    <col min="11" max="11" width="12.5703125" style="21" customWidth="1"/>
    <col min="12" max="12" width="16.5703125" style="21" customWidth="1"/>
    <col min="13" max="13" width="20.28515625" style="21" customWidth="1"/>
    <col min="14" max="14" width="20" style="21" customWidth="1"/>
    <col min="15" max="15" width="11" style="21" customWidth="1"/>
  </cols>
  <sheetData>
    <row r="1" spans="2:15" ht="15.75" thickBot="1" x14ac:dyDescent="0.3">
      <c r="C1" s="64"/>
      <c r="D1" s="64"/>
      <c r="E1" s="64"/>
      <c r="F1" s="64"/>
      <c r="G1" s="64"/>
      <c r="H1" s="64"/>
      <c r="J1" s="64"/>
      <c r="L1" s="64"/>
      <c r="N1" s="64"/>
      <c r="O1" s="64"/>
    </row>
    <row r="2" spans="2:15" ht="15.75" thickBot="1" x14ac:dyDescent="0.3">
      <c r="C2" s="60"/>
      <c r="D2" s="60"/>
      <c r="E2" s="60"/>
      <c r="F2" s="60"/>
      <c r="G2" s="60"/>
      <c r="H2" s="60"/>
      <c r="I2" s="5"/>
      <c r="J2" s="64"/>
      <c r="L2" s="64"/>
      <c r="N2" s="64"/>
      <c r="O2" s="64"/>
    </row>
    <row r="3" spans="2:15" x14ac:dyDescent="0.25">
      <c r="H3" s="64"/>
      <c r="N3" s="64"/>
      <c r="O3" s="64"/>
    </row>
    <row r="4" spans="2:15" x14ac:dyDescent="0.25">
      <c r="B4" s="175" t="s">
        <v>66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2:15" x14ac:dyDescent="0.25">
      <c r="C5" s="6"/>
      <c r="D5" s="6"/>
      <c r="E5" s="6"/>
      <c r="F5" s="6"/>
      <c r="G5" s="6"/>
      <c r="H5" s="6"/>
      <c r="I5" s="8"/>
      <c r="J5" s="6"/>
      <c r="K5" s="6"/>
      <c r="L5" s="6"/>
      <c r="M5" s="6"/>
      <c r="N5" s="6"/>
      <c r="O5" s="10"/>
    </row>
    <row r="6" spans="2:15" x14ac:dyDescent="0.25">
      <c r="F6" s="64"/>
      <c r="G6" s="64"/>
      <c r="H6" s="64"/>
      <c r="J6" s="64"/>
      <c r="K6" s="64"/>
      <c r="M6" s="171" t="s">
        <v>67</v>
      </c>
      <c r="N6" s="171"/>
      <c r="O6" s="171"/>
    </row>
    <row r="7" spans="2:15" x14ac:dyDescent="0.25">
      <c r="F7" s="64"/>
      <c r="G7" s="64"/>
      <c r="H7" s="64"/>
      <c r="J7" s="64"/>
      <c r="K7" s="64"/>
      <c r="M7" s="6"/>
      <c r="N7" s="6"/>
      <c r="O7" s="10"/>
    </row>
    <row r="8" spans="2:15" x14ac:dyDescent="0.25">
      <c r="B8" s="64"/>
      <c r="C8" s="64"/>
      <c r="D8" s="64"/>
      <c r="E8" s="64"/>
      <c r="F8" s="64"/>
      <c r="G8" s="64"/>
      <c r="H8" s="64"/>
      <c r="I8" s="12"/>
      <c r="J8" s="64"/>
      <c r="K8" s="64"/>
      <c r="L8" s="64"/>
      <c r="M8" s="64"/>
      <c r="N8" s="64"/>
      <c r="O8" s="64"/>
    </row>
    <row r="9" spans="2:15" x14ac:dyDescent="0.25">
      <c r="D9" s="13"/>
      <c r="F9" s="64"/>
      <c r="G9" s="64"/>
      <c r="H9" s="64"/>
      <c r="J9" s="64"/>
      <c r="K9" s="64"/>
      <c r="L9" s="6"/>
      <c r="M9" s="6"/>
      <c r="N9" s="6"/>
      <c r="O9" s="10"/>
    </row>
    <row r="11" spans="2:15" x14ac:dyDescent="0.25">
      <c r="B11" s="64"/>
    </row>
    <row r="12" spans="2:15" ht="15.75" thickBot="1" x14ac:dyDescent="0.3">
      <c r="C12" s="64"/>
      <c r="D12" s="64"/>
      <c r="E12" s="64"/>
      <c r="F12" s="64"/>
      <c r="G12" s="64"/>
      <c r="H12" s="64"/>
      <c r="I12" s="15"/>
      <c r="J12" s="64"/>
      <c r="K12" s="64"/>
      <c r="L12" s="64"/>
      <c r="M12" s="64"/>
      <c r="N12" s="64"/>
      <c r="O12" s="64"/>
    </row>
    <row r="13" spans="2:15" ht="126" x14ac:dyDescent="0.25">
      <c r="B13" s="29" t="s">
        <v>1</v>
      </c>
      <c r="C13" s="31" t="s">
        <v>4</v>
      </c>
      <c r="D13" s="30" t="s">
        <v>5</v>
      </c>
      <c r="E13" s="30" t="s">
        <v>7</v>
      </c>
      <c r="F13" s="30" t="s">
        <v>11</v>
      </c>
      <c r="G13" s="30" t="s">
        <v>12</v>
      </c>
      <c r="H13" s="30" t="s">
        <v>14</v>
      </c>
      <c r="I13" s="33" t="s">
        <v>15</v>
      </c>
      <c r="J13" s="30" t="s">
        <v>17</v>
      </c>
      <c r="K13" s="30" t="s">
        <v>18</v>
      </c>
      <c r="L13" s="30" t="s">
        <v>19</v>
      </c>
      <c r="M13" s="30" t="s">
        <v>20</v>
      </c>
      <c r="N13" s="80" t="s">
        <v>432</v>
      </c>
      <c r="O13" s="80" t="s">
        <v>433</v>
      </c>
    </row>
    <row r="14" spans="2:15" ht="16.5" thickBot="1" x14ac:dyDescent="0.3">
      <c r="B14" s="34">
        <v>1</v>
      </c>
      <c r="C14" s="36">
        <v>4</v>
      </c>
      <c r="D14" s="35">
        <v>5</v>
      </c>
      <c r="E14" s="35">
        <v>7</v>
      </c>
      <c r="F14" s="35">
        <v>11</v>
      </c>
      <c r="G14" s="35">
        <v>12</v>
      </c>
      <c r="H14" s="35">
        <v>14</v>
      </c>
      <c r="I14" s="38">
        <v>15</v>
      </c>
      <c r="J14" s="35">
        <v>17</v>
      </c>
      <c r="K14" s="35">
        <v>18</v>
      </c>
      <c r="L14" s="35">
        <v>19</v>
      </c>
      <c r="M14" s="35">
        <v>20</v>
      </c>
      <c r="N14" s="35">
        <v>21</v>
      </c>
      <c r="O14" s="35">
        <v>22</v>
      </c>
    </row>
    <row r="15" spans="2:15" ht="16.5" thickBot="1" x14ac:dyDescent="0.3">
      <c r="B15" s="191" t="s">
        <v>25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</row>
    <row r="16" spans="2:15" ht="79.5" thickBot="1" x14ac:dyDescent="0.3">
      <c r="B16" s="22" t="s">
        <v>313</v>
      </c>
      <c r="C16" s="53" t="s">
        <v>208</v>
      </c>
      <c r="D16" s="54" t="s">
        <v>209</v>
      </c>
      <c r="E16" s="22" t="s">
        <v>27</v>
      </c>
      <c r="F16" s="22" t="s">
        <v>216</v>
      </c>
      <c r="G16" s="22" t="s">
        <v>217</v>
      </c>
      <c r="H16" s="22" t="s">
        <v>78</v>
      </c>
      <c r="I16" s="24" t="s">
        <v>34</v>
      </c>
      <c r="J16" s="55" t="s">
        <v>212</v>
      </c>
      <c r="K16" s="27">
        <v>15</v>
      </c>
      <c r="L16" s="26">
        <v>221</v>
      </c>
      <c r="M16" s="26">
        <f t="shared" ref="M16:M25" si="0">K16*L16</f>
        <v>3315</v>
      </c>
      <c r="N16" s="26"/>
      <c r="O16" s="22"/>
    </row>
    <row r="17" spans="2:15" ht="79.5" thickBot="1" x14ac:dyDescent="0.3">
      <c r="B17" s="22" t="s">
        <v>314</v>
      </c>
      <c r="C17" s="53" t="s">
        <v>213</v>
      </c>
      <c r="D17" s="54" t="s">
        <v>214</v>
      </c>
      <c r="E17" s="22" t="s">
        <v>27</v>
      </c>
      <c r="F17" s="22" t="s">
        <v>216</v>
      </c>
      <c r="G17" s="22" t="s">
        <v>217</v>
      </c>
      <c r="H17" s="22" t="s">
        <v>78</v>
      </c>
      <c r="I17" s="24" t="s">
        <v>34</v>
      </c>
      <c r="J17" s="55" t="s">
        <v>212</v>
      </c>
      <c r="K17" s="27">
        <v>120</v>
      </c>
      <c r="L17" s="26">
        <v>650</v>
      </c>
      <c r="M17" s="26">
        <f t="shared" si="0"/>
        <v>78000</v>
      </c>
      <c r="N17" s="26"/>
      <c r="O17" s="22"/>
    </row>
    <row r="18" spans="2:15" ht="79.5" thickBot="1" x14ac:dyDescent="0.3">
      <c r="B18" s="22" t="s">
        <v>315</v>
      </c>
      <c r="C18" s="53" t="s">
        <v>218</v>
      </c>
      <c r="D18" s="54" t="s">
        <v>219</v>
      </c>
      <c r="E18" s="22" t="s">
        <v>27</v>
      </c>
      <c r="F18" s="22" t="s">
        <v>216</v>
      </c>
      <c r="G18" s="22" t="s">
        <v>217</v>
      </c>
      <c r="H18" s="22" t="s">
        <v>78</v>
      </c>
      <c r="I18" s="24" t="s">
        <v>34</v>
      </c>
      <c r="J18" s="28" t="s">
        <v>62</v>
      </c>
      <c r="K18" s="27">
        <v>80</v>
      </c>
      <c r="L18" s="26">
        <v>50</v>
      </c>
      <c r="M18" s="26">
        <f t="shared" si="0"/>
        <v>4000</v>
      </c>
      <c r="N18" s="26"/>
      <c r="O18" s="22"/>
    </row>
    <row r="19" spans="2:15" ht="79.5" thickBot="1" x14ac:dyDescent="0.3">
      <c r="B19" s="22" t="s">
        <v>316</v>
      </c>
      <c r="C19" s="53" t="s">
        <v>221</v>
      </c>
      <c r="D19" s="54" t="s">
        <v>222</v>
      </c>
      <c r="E19" s="22" t="s">
        <v>27</v>
      </c>
      <c r="F19" s="22" t="s">
        <v>216</v>
      </c>
      <c r="G19" s="22" t="s">
        <v>217</v>
      </c>
      <c r="H19" s="22" t="s">
        <v>78</v>
      </c>
      <c r="I19" s="24" t="s">
        <v>34</v>
      </c>
      <c r="J19" s="28" t="s">
        <v>62</v>
      </c>
      <c r="K19" s="27">
        <v>30</v>
      </c>
      <c r="L19" s="26">
        <v>75</v>
      </c>
      <c r="M19" s="26">
        <f t="shared" si="0"/>
        <v>2250</v>
      </c>
      <c r="N19" s="26"/>
      <c r="O19" s="22"/>
    </row>
    <row r="20" spans="2:15" ht="79.5" thickBot="1" x14ac:dyDescent="0.3">
      <c r="B20" s="22" t="s">
        <v>317</v>
      </c>
      <c r="C20" s="53" t="s">
        <v>223</v>
      </c>
      <c r="D20" s="54" t="s">
        <v>224</v>
      </c>
      <c r="E20" s="22" t="s">
        <v>27</v>
      </c>
      <c r="F20" s="22" t="s">
        <v>216</v>
      </c>
      <c r="G20" s="22" t="s">
        <v>217</v>
      </c>
      <c r="H20" s="22" t="s">
        <v>78</v>
      </c>
      <c r="I20" s="24" t="s">
        <v>34</v>
      </c>
      <c r="J20" s="28" t="s">
        <v>62</v>
      </c>
      <c r="K20" s="27">
        <v>7</v>
      </c>
      <c r="L20" s="26">
        <v>700</v>
      </c>
      <c r="M20" s="26">
        <f t="shared" si="0"/>
        <v>4900</v>
      </c>
      <c r="N20" s="26"/>
      <c r="O20" s="22"/>
    </row>
    <row r="21" spans="2:15" ht="79.5" thickBot="1" x14ac:dyDescent="0.3">
      <c r="B21" s="22" t="s">
        <v>318</v>
      </c>
      <c r="C21" s="53" t="s">
        <v>228</v>
      </c>
      <c r="D21" s="54" t="s">
        <v>228</v>
      </c>
      <c r="E21" s="22" t="s">
        <v>27</v>
      </c>
      <c r="F21" s="22" t="s">
        <v>216</v>
      </c>
      <c r="G21" s="22" t="s">
        <v>217</v>
      </c>
      <c r="H21" s="22" t="s">
        <v>78</v>
      </c>
      <c r="I21" s="24" t="s">
        <v>34</v>
      </c>
      <c r="J21" s="28" t="s">
        <v>62</v>
      </c>
      <c r="K21" s="27">
        <v>7</v>
      </c>
      <c r="L21" s="26">
        <v>250</v>
      </c>
      <c r="M21" s="26">
        <f t="shared" si="0"/>
        <v>1750</v>
      </c>
      <c r="N21" s="26"/>
      <c r="O21" s="22"/>
    </row>
    <row r="22" spans="2:15" ht="79.5" thickBot="1" x14ac:dyDescent="0.3">
      <c r="B22" s="22" t="s">
        <v>319</v>
      </c>
      <c r="C22" s="53" t="s">
        <v>230</v>
      </c>
      <c r="D22" s="54" t="s">
        <v>231</v>
      </c>
      <c r="E22" s="22" t="s">
        <v>27</v>
      </c>
      <c r="F22" s="22" t="s">
        <v>216</v>
      </c>
      <c r="G22" s="22" t="s">
        <v>217</v>
      </c>
      <c r="H22" s="22" t="s">
        <v>78</v>
      </c>
      <c r="I22" s="24" t="s">
        <v>34</v>
      </c>
      <c r="J22" s="28" t="s">
        <v>62</v>
      </c>
      <c r="K22" s="27">
        <v>8</v>
      </c>
      <c r="L22" s="26">
        <v>100</v>
      </c>
      <c r="M22" s="26">
        <f t="shared" si="0"/>
        <v>800</v>
      </c>
      <c r="N22" s="26"/>
      <c r="O22" s="22"/>
    </row>
    <row r="23" spans="2:15" ht="79.5" thickBot="1" x14ac:dyDescent="0.3">
      <c r="B23" s="22" t="s">
        <v>320</v>
      </c>
      <c r="C23" s="53" t="s">
        <v>233</v>
      </c>
      <c r="D23" s="54" t="s">
        <v>234</v>
      </c>
      <c r="E23" s="22" t="s">
        <v>27</v>
      </c>
      <c r="F23" s="22" t="s">
        <v>216</v>
      </c>
      <c r="G23" s="22" t="s">
        <v>217</v>
      </c>
      <c r="H23" s="22" t="s">
        <v>78</v>
      </c>
      <c r="I23" s="24" t="s">
        <v>34</v>
      </c>
      <c r="J23" s="28" t="s">
        <v>62</v>
      </c>
      <c r="K23" s="27">
        <v>10</v>
      </c>
      <c r="L23" s="26">
        <v>40</v>
      </c>
      <c r="M23" s="26">
        <f t="shared" si="0"/>
        <v>400</v>
      </c>
      <c r="N23" s="26"/>
      <c r="O23" s="22"/>
    </row>
    <row r="24" spans="2:15" ht="79.5" thickBot="1" x14ac:dyDescent="0.3">
      <c r="B24" s="22" t="s">
        <v>321</v>
      </c>
      <c r="C24" s="53" t="s">
        <v>236</v>
      </c>
      <c r="D24" s="54" t="s">
        <v>237</v>
      </c>
      <c r="E24" s="22" t="s">
        <v>27</v>
      </c>
      <c r="F24" s="22" t="s">
        <v>216</v>
      </c>
      <c r="G24" s="22" t="s">
        <v>217</v>
      </c>
      <c r="H24" s="22" t="s">
        <v>78</v>
      </c>
      <c r="I24" s="24" t="s">
        <v>34</v>
      </c>
      <c r="J24" s="28" t="s">
        <v>62</v>
      </c>
      <c r="K24" s="27">
        <v>10</v>
      </c>
      <c r="L24" s="26">
        <v>90</v>
      </c>
      <c r="M24" s="26">
        <f t="shared" si="0"/>
        <v>900</v>
      </c>
      <c r="N24" s="26"/>
      <c r="O24" s="22"/>
    </row>
    <row r="25" spans="2:15" ht="79.5" thickBot="1" x14ac:dyDescent="0.3">
      <c r="B25" s="22" t="s">
        <v>322</v>
      </c>
      <c r="C25" s="53" t="s">
        <v>239</v>
      </c>
      <c r="D25" s="54" t="s">
        <v>240</v>
      </c>
      <c r="E25" s="22" t="s">
        <v>27</v>
      </c>
      <c r="F25" s="22" t="s">
        <v>216</v>
      </c>
      <c r="G25" s="22" t="s">
        <v>217</v>
      </c>
      <c r="H25" s="22" t="s">
        <v>78</v>
      </c>
      <c r="I25" s="24" t="s">
        <v>34</v>
      </c>
      <c r="J25" s="28" t="s">
        <v>62</v>
      </c>
      <c r="K25" s="27">
        <v>7</v>
      </c>
      <c r="L25" s="26">
        <v>70</v>
      </c>
      <c r="M25" s="26">
        <f t="shared" si="0"/>
        <v>490</v>
      </c>
      <c r="N25" s="26"/>
      <c r="O25" s="22"/>
    </row>
    <row r="26" spans="2:15" ht="79.5" thickBot="1" x14ac:dyDescent="0.3">
      <c r="B26" s="22" t="s">
        <v>323</v>
      </c>
      <c r="C26" s="53" t="s">
        <v>242</v>
      </c>
      <c r="D26" s="54" t="s">
        <v>243</v>
      </c>
      <c r="E26" s="22" t="s">
        <v>27</v>
      </c>
      <c r="F26" s="22" t="s">
        <v>216</v>
      </c>
      <c r="G26" s="22" t="s">
        <v>217</v>
      </c>
      <c r="H26" s="22" t="s">
        <v>78</v>
      </c>
      <c r="I26" s="24" t="s">
        <v>34</v>
      </c>
      <c r="J26" s="28" t="s">
        <v>62</v>
      </c>
      <c r="K26" s="27">
        <v>40</v>
      </c>
      <c r="L26" s="26">
        <v>30</v>
      </c>
      <c r="M26" s="26">
        <f t="shared" ref="M26:M50" si="1">K26*L26</f>
        <v>1200</v>
      </c>
      <c r="N26" s="26"/>
      <c r="O26" s="22"/>
    </row>
    <row r="27" spans="2:15" ht="79.5" thickBot="1" x14ac:dyDescent="0.3">
      <c r="B27" s="22" t="s">
        <v>324</v>
      </c>
      <c r="C27" s="53" t="s">
        <v>245</v>
      </c>
      <c r="D27" s="54" t="s">
        <v>246</v>
      </c>
      <c r="E27" s="22" t="s">
        <v>27</v>
      </c>
      <c r="F27" s="22" t="s">
        <v>216</v>
      </c>
      <c r="G27" s="22" t="s">
        <v>217</v>
      </c>
      <c r="H27" s="22" t="s">
        <v>78</v>
      </c>
      <c r="I27" s="24" t="s">
        <v>34</v>
      </c>
      <c r="J27" s="28" t="s">
        <v>62</v>
      </c>
      <c r="K27" s="27">
        <v>6</v>
      </c>
      <c r="L27" s="26">
        <v>300</v>
      </c>
      <c r="M27" s="26">
        <f t="shared" si="1"/>
        <v>1800</v>
      </c>
      <c r="N27" s="26"/>
      <c r="O27" s="22"/>
    </row>
    <row r="28" spans="2:15" ht="79.5" thickBot="1" x14ac:dyDescent="0.3">
      <c r="B28" s="22" t="s">
        <v>325</v>
      </c>
      <c r="C28" s="53" t="s">
        <v>248</v>
      </c>
      <c r="D28" s="54" t="s">
        <v>249</v>
      </c>
      <c r="E28" s="22" t="s">
        <v>27</v>
      </c>
      <c r="F28" s="22" t="s">
        <v>216</v>
      </c>
      <c r="G28" s="22" t="s">
        <v>217</v>
      </c>
      <c r="H28" s="22" t="s">
        <v>78</v>
      </c>
      <c r="I28" s="24" t="s">
        <v>34</v>
      </c>
      <c r="J28" s="28" t="s">
        <v>62</v>
      </c>
      <c r="K28" s="27">
        <v>300</v>
      </c>
      <c r="L28" s="26">
        <v>9</v>
      </c>
      <c r="M28" s="26">
        <f t="shared" si="1"/>
        <v>2700</v>
      </c>
      <c r="N28" s="26"/>
      <c r="O28" s="22"/>
    </row>
    <row r="29" spans="2:15" ht="79.5" thickBot="1" x14ac:dyDescent="0.3">
      <c r="B29" s="22" t="s">
        <v>326</v>
      </c>
      <c r="C29" s="53" t="s">
        <v>251</v>
      </c>
      <c r="D29" s="54" t="s">
        <v>252</v>
      </c>
      <c r="E29" s="22" t="s">
        <v>27</v>
      </c>
      <c r="F29" s="22" t="s">
        <v>216</v>
      </c>
      <c r="G29" s="22" t="s">
        <v>217</v>
      </c>
      <c r="H29" s="22" t="s">
        <v>78</v>
      </c>
      <c r="I29" s="24" t="s">
        <v>34</v>
      </c>
      <c r="J29" s="28" t="s">
        <v>62</v>
      </c>
      <c r="K29" s="27">
        <v>11</v>
      </c>
      <c r="L29" s="26">
        <v>1000</v>
      </c>
      <c r="M29" s="26">
        <f t="shared" si="1"/>
        <v>11000</v>
      </c>
      <c r="N29" s="26"/>
      <c r="O29" s="22"/>
    </row>
    <row r="30" spans="2:15" ht="79.5" thickBot="1" x14ac:dyDescent="0.3">
      <c r="B30" s="22" t="s">
        <v>327</v>
      </c>
      <c r="C30" s="53" t="s">
        <v>254</v>
      </c>
      <c r="D30" s="54" t="s">
        <v>255</v>
      </c>
      <c r="E30" s="22" t="s">
        <v>27</v>
      </c>
      <c r="F30" s="22" t="s">
        <v>216</v>
      </c>
      <c r="G30" s="22" t="s">
        <v>217</v>
      </c>
      <c r="H30" s="22" t="s">
        <v>78</v>
      </c>
      <c r="I30" s="24" t="s">
        <v>34</v>
      </c>
      <c r="J30" s="28" t="s">
        <v>62</v>
      </c>
      <c r="K30" s="27">
        <v>15</v>
      </c>
      <c r="L30" s="26">
        <v>150</v>
      </c>
      <c r="M30" s="26">
        <f t="shared" si="1"/>
        <v>2250</v>
      </c>
      <c r="N30" s="26"/>
      <c r="O30" s="22"/>
    </row>
    <row r="31" spans="2:15" ht="79.5" thickBot="1" x14ac:dyDescent="0.3">
      <c r="B31" s="22" t="s">
        <v>328</v>
      </c>
      <c r="C31" s="53" t="s">
        <v>254</v>
      </c>
      <c r="D31" s="54" t="s">
        <v>255</v>
      </c>
      <c r="E31" s="22" t="s">
        <v>27</v>
      </c>
      <c r="F31" s="22" t="s">
        <v>216</v>
      </c>
      <c r="G31" s="22" t="s">
        <v>217</v>
      </c>
      <c r="H31" s="22" t="s">
        <v>78</v>
      </c>
      <c r="I31" s="24" t="s">
        <v>34</v>
      </c>
      <c r="J31" s="28" t="s">
        <v>62</v>
      </c>
      <c r="K31" s="27">
        <v>15</v>
      </c>
      <c r="L31" s="26">
        <v>200</v>
      </c>
      <c r="M31" s="26">
        <f t="shared" si="1"/>
        <v>3000</v>
      </c>
      <c r="N31" s="26"/>
      <c r="O31" s="22"/>
    </row>
    <row r="32" spans="2:15" ht="79.5" thickBot="1" x14ac:dyDescent="0.3">
      <c r="B32" s="22" t="s">
        <v>329</v>
      </c>
      <c r="C32" s="53" t="s">
        <v>259</v>
      </c>
      <c r="D32" s="54" t="s">
        <v>260</v>
      </c>
      <c r="E32" s="22" t="s">
        <v>27</v>
      </c>
      <c r="F32" s="22" t="s">
        <v>216</v>
      </c>
      <c r="G32" s="22" t="s">
        <v>217</v>
      </c>
      <c r="H32" s="22" t="s">
        <v>78</v>
      </c>
      <c r="I32" s="24" t="s">
        <v>34</v>
      </c>
      <c r="J32" s="28" t="s">
        <v>62</v>
      </c>
      <c r="K32" s="27">
        <v>11</v>
      </c>
      <c r="L32" s="26">
        <v>110</v>
      </c>
      <c r="M32" s="26">
        <f t="shared" si="1"/>
        <v>1210</v>
      </c>
      <c r="N32" s="26"/>
      <c r="O32" s="22"/>
    </row>
    <row r="33" spans="1:23" ht="79.5" thickBot="1" x14ac:dyDescent="0.3">
      <c r="B33" s="22" t="s">
        <v>330</v>
      </c>
      <c r="C33" s="53" t="s">
        <v>262</v>
      </c>
      <c r="D33" s="54" t="s">
        <v>263</v>
      </c>
      <c r="E33" s="22" t="s">
        <v>27</v>
      </c>
      <c r="F33" s="22" t="s">
        <v>216</v>
      </c>
      <c r="G33" s="22" t="s">
        <v>217</v>
      </c>
      <c r="H33" s="22" t="s">
        <v>78</v>
      </c>
      <c r="I33" s="24" t="s">
        <v>34</v>
      </c>
      <c r="J33" s="28" t="s">
        <v>62</v>
      </c>
      <c r="K33" s="27">
        <v>15</v>
      </c>
      <c r="L33" s="26">
        <v>125</v>
      </c>
      <c r="M33" s="26">
        <f t="shared" si="1"/>
        <v>1875</v>
      </c>
      <c r="N33" s="26"/>
      <c r="O33" s="22"/>
    </row>
    <row r="34" spans="1:23" ht="79.5" thickBot="1" x14ac:dyDescent="0.3">
      <c r="B34" s="22" t="s">
        <v>331</v>
      </c>
      <c r="C34" s="53" t="s">
        <v>265</v>
      </c>
      <c r="D34" s="54" t="s">
        <v>266</v>
      </c>
      <c r="E34" s="22" t="s">
        <v>27</v>
      </c>
      <c r="F34" s="22" t="s">
        <v>216</v>
      </c>
      <c r="G34" s="22" t="s">
        <v>217</v>
      </c>
      <c r="H34" s="22" t="s">
        <v>78</v>
      </c>
      <c r="I34" s="24" t="s">
        <v>34</v>
      </c>
      <c r="J34" s="28" t="s">
        <v>62</v>
      </c>
      <c r="K34" s="27">
        <v>20</v>
      </c>
      <c r="L34" s="26">
        <v>300</v>
      </c>
      <c r="M34" s="26">
        <f t="shared" si="1"/>
        <v>6000</v>
      </c>
      <c r="N34" s="26"/>
      <c r="O34" s="22"/>
    </row>
    <row r="35" spans="1:23" ht="79.5" thickBot="1" x14ac:dyDescent="0.3">
      <c r="B35" s="22" t="s">
        <v>332</v>
      </c>
      <c r="C35" s="53" t="s">
        <v>221</v>
      </c>
      <c r="D35" s="54" t="s">
        <v>268</v>
      </c>
      <c r="E35" s="22" t="s">
        <v>27</v>
      </c>
      <c r="F35" s="22" t="s">
        <v>216</v>
      </c>
      <c r="G35" s="22" t="s">
        <v>217</v>
      </c>
      <c r="H35" s="22" t="s">
        <v>78</v>
      </c>
      <c r="I35" s="24" t="s">
        <v>34</v>
      </c>
      <c r="J35" s="28" t="s">
        <v>62</v>
      </c>
      <c r="K35" s="27">
        <v>20</v>
      </c>
      <c r="L35" s="26">
        <v>250</v>
      </c>
      <c r="M35" s="26">
        <f t="shared" si="1"/>
        <v>5000</v>
      </c>
      <c r="N35" s="26"/>
      <c r="O35" s="22"/>
    </row>
    <row r="36" spans="1:23" ht="79.5" thickBot="1" x14ac:dyDescent="0.3">
      <c r="B36" s="22" t="s">
        <v>333</v>
      </c>
      <c r="C36" s="53" t="s">
        <v>221</v>
      </c>
      <c r="D36" s="54" t="s">
        <v>269</v>
      </c>
      <c r="E36" s="22" t="s">
        <v>27</v>
      </c>
      <c r="F36" s="22" t="s">
        <v>216</v>
      </c>
      <c r="G36" s="22" t="s">
        <v>217</v>
      </c>
      <c r="H36" s="22" t="s">
        <v>78</v>
      </c>
      <c r="I36" s="24" t="s">
        <v>34</v>
      </c>
      <c r="J36" s="28" t="s">
        <v>62</v>
      </c>
      <c r="K36" s="27">
        <v>40</v>
      </c>
      <c r="L36" s="26">
        <v>450</v>
      </c>
      <c r="M36" s="26">
        <f t="shared" si="1"/>
        <v>18000</v>
      </c>
      <c r="N36" s="26"/>
      <c r="O36" s="22"/>
    </row>
    <row r="37" spans="1:23" ht="79.5" thickBot="1" x14ac:dyDescent="0.3">
      <c r="B37" s="22" t="s">
        <v>334</v>
      </c>
      <c r="C37" s="53" t="s">
        <v>271</v>
      </c>
      <c r="D37" s="54" t="s">
        <v>272</v>
      </c>
      <c r="E37" s="22" t="s">
        <v>27</v>
      </c>
      <c r="F37" s="22" t="s">
        <v>216</v>
      </c>
      <c r="G37" s="22" t="s">
        <v>217</v>
      </c>
      <c r="H37" s="22" t="s">
        <v>78</v>
      </c>
      <c r="I37" s="24" t="s">
        <v>34</v>
      </c>
      <c r="J37" s="28" t="s">
        <v>62</v>
      </c>
      <c r="K37" s="27">
        <v>11</v>
      </c>
      <c r="L37" s="26">
        <v>1000</v>
      </c>
      <c r="M37" s="26">
        <f t="shared" si="1"/>
        <v>11000</v>
      </c>
      <c r="N37" s="26"/>
      <c r="O37" s="22"/>
    </row>
    <row r="38" spans="1:23" ht="79.5" thickBot="1" x14ac:dyDescent="0.3">
      <c r="B38" s="22" t="s">
        <v>335</v>
      </c>
      <c r="C38" s="53" t="s">
        <v>274</v>
      </c>
      <c r="D38" s="54" t="s">
        <v>275</v>
      </c>
      <c r="E38" s="22" t="s">
        <v>27</v>
      </c>
      <c r="F38" s="22" t="s">
        <v>216</v>
      </c>
      <c r="G38" s="22" t="s">
        <v>217</v>
      </c>
      <c r="H38" s="22" t="s">
        <v>78</v>
      </c>
      <c r="I38" s="24" t="s">
        <v>34</v>
      </c>
      <c r="J38" s="28" t="s">
        <v>62</v>
      </c>
      <c r="K38" s="27">
        <v>5</v>
      </c>
      <c r="L38" s="26">
        <v>300</v>
      </c>
      <c r="M38" s="26">
        <f t="shared" si="1"/>
        <v>1500</v>
      </c>
      <c r="N38" s="26"/>
      <c r="O38" s="22"/>
    </row>
    <row r="39" spans="1:23" ht="79.5" thickBot="1" x14ac:dyDescent="0.3">
      <c r="B39" s="22" t="s">
        <v>336</v>
      </c>
      <c r="C39" s="53" t="s">
        <v>277</v>
      </c>
      <c r="D39" s="54" t="s">
        <v>278</v>
      </c>
      <c r="E39" s="22" t="s">
        <v>27</v>
      </c>
      <c r="F39" s="22" t="s">
        <v>216</v>
      </c>
      <c r="G39" s="22" t="s">
        <v>217</v>
      </c>
      <c r="H39" s="22" t="s">
        <v>78</v>
      </c>
      <c r="I39" s="24" t="s">
        <v>34</v>
      </c>
      <c r="J39" s="28" t="s">
        <v>62</v>
      </c>
      <c r="K39" s="27">
        <v>5</v>
      </c>
      <c r="L39" s="26">
        <v>300</v>
      </c>
      <c r="M39" s="26">
        <f t="shared" si="1"/>
        <v>1500</v>
      </c>
      <c r="N39" s="26"/>
      <c r="O39" s="22"/>
    </row>
    <row r="40" spans="1:23" ht="79.5" thickBot="1" x14ac:dyDescent="0.3">
      <c r="B40" s="22" t="s">
        <v>337</v>
      </c>
      <c r="C40" s="53" t="s">
        <v>280</v>
      </c>
      <c r="D40" s="54" t="s">
        <v>281</v>
      </c>
      <c r="E40" s="22" t="s">
        <v>27</v>
      </c>
      <c r="F40" s="22" t="s">
        <v>216</v>
      </c>
      <c r="G40" s="22" t="s">
        <v>217</v>
      </c>
      <c r="H40" s="22" t="s">
        <v>78</v>
      </c>
      <c r="I40" s="24" t="s">
        <v>34</v>
      </c>
      <c r="J40" s="28" t="s">
        <v>62</v>
      </c>
      <c r="K40" s="27">
        <v>3</v>
      </c>
      <c r="L40" s="26">
        <v>500</v>
      </c>
      <c r="M40" s="26">
        <f t="shared" si="1"/>
        <v>1500</v>
      </c>
      <c r="N40" s="26"/>
      <c r="O40" s="22"/>
    </row>
    <row r="41" spans="1:23" ht="79.5" thickBot="1" x14ac:dyDescent="0.3">
      <c r="B41" s="22" t="s">
        <v>338</v>
      </c>
      <c r="C41" s="53" t="s">
        <v>283</v>
      </c>
      <c r="D41" s="54" t="s">
        <v>283</v>
      </c>
      <c r="E41" s="22" t="s">
        <v>27</v>
      </c>
      <c r="F41" s="22" t="s">
        <v>216</v>
      </c>
      <c r="G41" s="22" t="s">
        <v>217</v>
      </c>
      <c r="H41" s="22" t="s">
        <v>78</v>
      </c>
      <c r="I41" s="24" t="s">
        <v>34</v>
      </c>
      <c r="J41" s="28" t="s">
        <v>62</v>
      </c>
      <c r="K41" s="27">
        <v>6</v>
      </c>
      <c r="L41" s="26">
        <v>500</v>
      </c>
      <c r="M41" s="26">
        <f t="shared" si="1"/>
        <v>3000</v>
      </c>
      <c r="N41" s="26"/>
      <c r="O41" s="22"/>
    </row>
    <row r="42" spans="1:23" ht="79.5" thickBot="1" x14ac:dyDescent="0.3">
      <c r="B42" s="22" t="s">
        <v>339</v>
      </c>
      <c r="C42" s="53" t="s">
        <v>285</v>
      </c>
      <c r="D42" s="54" t="s">
        <v>286</v>
      </c>
      <c r="E42" s="22" t="s">
        <v>27</v>
      </c>
      <c r="F42" s="22" t="s">
        <v>216</v>
      </c>
      <c r="G42" s="22" t="s">
        <v>217</v>
      </c>
      <c r="H42" s="22" t="s">
        <v>78</v>
      </c>
      <c r="I42" s="24" t="s">
        <v>34</v>
      </c>
      <c r="J42" s="28" t="s">
        <v>62</v>
      </c>
      <c r="K42" s="27">
        <v>2</v>
      </c>
      <c r="L42" s="26">
        <v>2500</v>
      </c>
      <c r="M42" s="26">
        <f t="shared" si="1"/>
        <v>5000</v>
      </c>
      <c r="N42" s="26"/>
      <c r="O42" s="22"/>
    </row>
    <row r="43" spans="1:23" ht="79.5" thickBot="1" x14ac:dyDescent="0.3">
      <c r="B43" s="22" t="s">
        <v>340</v>
      </c>
      <c r="C43" s="53" t="s">
        <v>288</v>
      </c>
      <c r="D43" s="54" t="s">
        <v>289</v>
      </c>
      <c r="E43" s="22" t="s">
        <v>27</v>
      </c>
      <c r="F43" s="22" t="s">
        <v>216</v>
      </c>
      <c r="G43" s="22" t="s">
        <v>217</v>
      </c>
      <c r="H43" s="22" t="s">
        <v>78</v>
      </c>
      <c r="I43" s="24" t="s">
        <v>34</v>
      </c>
      <c r="J43" s="28" t="s">
        <v>62</v>
      </c>
      <c r="K43" s="27">
        <v>10</v>
      </c>
      <c r="L43" s="26">
        <v>500</v>
      </c>
      <c r="M43" s="26">
        <f t="shared" si="1"/>
        <v>5000</v>
      </c>
      <c r="N43" s="26"/>
      <c r="O43" s="22"/>
    </row>
    <row r="44" spans="1:23" ht="79.5" thickBot="1" x14ac:dyDescent="0.3">
      <c r="B44" s="22" t="s">
        <v>341</v>
      </c>
      <c r="C44" s="53" t="s">
        <v>221</v>
      </c>
      <c r="D44" s="54" t="s">
        <v>291</v>
      </c>
      <c r="E44" s="22" t="s">
        <v>27</v>
      </c>
      <c r="F44" s="22" t="s">
        <v>216</v>
      </c>
      <c r="G44" s="22" t="s">
        <v>217</v>
      </c>
      <c r="H44" s="22" t="s">
        <v>78</v>
      </c>
      <c r="I44" s="24" t="s">
        <v>34</v>
      </c>
      <c r="J44" s="28" t="s">
        <v>62</v>
      </c>
      <c r="K44" s="27">
        <v>10</v>
      </c>
      <c r="L44" s="26">
        <v>400</v>
      </c>
      <c r="M44" s="26">
        <f t="shared" si="1"/>
        <v>4000</v>
      </c>
      <c r="N44" s="26"/>
      <c r="O44" s="22"/>
    </row>
    <row r="45" spans="1:23" ht="79.5" thickBot="1" x14ac:dyDescent="0.3">
      <c r="B45" s="22" t="s">
        <v>342</v>
      </c>
      <c r="C45" s="53" t="s">
        <v>293</v>
      </c>
      <c r="D45" s="54" t="s">
        <v>293</v>
      </c>
      <c r="E45" s="22" t="s">
        <v>27</v>
      </c>
      <c r="F45" s="22" t="s">
        <v>216</v>
      </c>
      <c r="G45" s="22" t="s">
        <v>217</v>
      </c>
      <c r="H45" s="22" t="s">
        <v>78</v>
      </c>
      <c r="I45" s="24" t="s">
        <v>34</v>
      </c>
      <c r="J45" s="28" t="s">
        <v>62</v>
      </c>
      <c r="K45" s="27">
        <v>5</v>
      </c>
      <c r="L45" s="26">
        <v>1000</v>
      </c>
      <c r="M45" s="26">
        <f t="shared" si="1"/>
        <v>5000</v>
      </c>
      <c r="N45" s="26"/>
      <c r="O45" s="22"/>
    </row>
    <row r="46" spans="1:23" s="21" customFormat="1" ht="74.25" customHeight="1" outlineLevel="1" thickBot="1" x14ac:dyDescent="0.25">
      <c r="A46" s="22"/>
      <c r="B46" s="23"/>
      <c r="C46" s="53" t="s">
        <v>434</v>
      </c>
      <c r="D46" s="54" t="s">
        <v>435</v>
      </c>
      <c r="E46" s="22" t="s">
        <v>27</v>
      </c>
      <c r="F46" s="22" t="s">
        <v>216</v>
      </c>
      <c r="G46" s="22" t="s">
        <v>217</v>
      </c>
      <c r="H46" s="22" t="s">
        <v>78</v>
      </c>
      <c r="I46" s="24" t="s">
        <v>34</v>
      </c>
      <c r="J46" s="22" t="s">
        <v>438</v>
      </c>
      <c r="K46" s="22">
        <v>30</v>
      </c>
      <c r="L46" s="22">
        <v>150</v>
      </c>
      <c r="M46" s="22">
        <f>K46*L46</f>
        <v>4500</v>
      </c>
      <c r="N46" s="24"/>
      <c r="O46" s="22"/>
      <c r="P46" s="28"/>
      <c r="Q46" s="27"/>
      <c r="R46" s="26"/>
      <c r="S46" s="26"/>
      <c r="T46" s="26"/>
      <c r="U46" s="22"/>
      <c r="V46" s="22"/>
      <c r="W46" s="22"/>
    </row>
    <row r="47" spans="1:23" s="21" customFormat="1" ht="74.25" customHeight="1" outlineLevel="1" thickBot="1" x14ac:dyDescent="0.25">
      <c r="A47" s="74"/>
      <c r="B47" s="23"/>
      <c r="C47" s="53"/>
      <c r="D47" s="54"/>
      <c r="E47" s="22"/>
      <c r="F47" s="22"/>
      <c r="G47" s="22"/>
      <c r="H47" s="22"/>
      <c r="I47" s="24"/>
      <c r="J47" s="74"/>
      <c r="K47" s="22"/>
      <c r="L47" s="22"/>
      <c r="M47" s="42">
        <f>SUM(M16:M46)</f>
        <v>192840</v>
      </c>
      <c r="N47" s="24">
        <v>248000</v>
      </c>
      <c r="O47" s="22"/>
      <c r="P47" s="28"/>
      <c r="Q47" s="105"/>
      <c r="R47" s="104"/>
      <c r="S47" s="104"/>
      <c r="T47" s="104"/>
      <c r="U47" s="74"/>
      <c r="V47" s="74"/>
      <c r="W47" s="74"/>
    </row>
    <row r="48" spans="1:23" s="21" customFormat="1" ht="74.25" customHeight="1" outlineLevel="1" thickBot="1" x14ac:dyDescent="0.25">
      <c r="A48" s="74"/>
      <c r="B48" s="23"/>
      <c r="C48" s="53"/>
      <c r="D48" s="54"/>
      <c r="E48" s="22"/>
      <c r="F48" s="22"/>
      <c r="G48" s="22"/>
      <c r="H48" s="22"/>
      <c r="I48" s="24"/>
      <c r="J48" s="74"/>
      <c r="K48" s="22"/>
      <c r="L48" s="22"/>
      <c r="M48" s="22"/>
      <c r="N48" s="24"/>
      <c r="O48" s="22"/>
      <c r="P48" s="28"/>
      <c r="Q48" s="105"/>
      <c r="R48" s="104"/>
      <c r="S48" s="104"/>
      <c r="T48" s="104"/>
      <c r="U48" s="74"/>
      <c r="V48" s="74"/>
      <c r="W48" s="74"/>
    </row>
    <row r="49" spans="2:15" ht="79.5" thickBot="1" x14ac:dyDescent="0.3">
      <c r="B49" s="22" t="s">
        <v>343</v>
      </c>
      <c r="C49" s="53" t="s">
        <v>295</v>
      </c>
      <c r="D49" s="54" t="s">
        <v>296</v>
      </c>
      <c r="E49" s="22" t="s">
        <v>27</v>
      </c>
      <c r="F49" s="22" t="s">
        <v>298</v>
      </c>
      <c r="G49" s="22" t="s">
        <v>217</v>
      </c>
      <c r="H49" s="22" t="s">
        <v>78</v>
      </c>
      <c r="I49" s="24" t="s">
        <v>34</v>
      </c>
      <c r="J49" s="28" t="s">
        <v>62</v>
      </c>
      <c r="K49" s="27">
        <v>2</v>
      </c>
      <c r="L49" s="26">
        <v>7000</v>
      </c>
      <c r="M49" s="26">
        <f t="shared" si="1"/>
        <v>14000</v>
      </c>
      <c r="N49" s="26"/>
      <c r="O49" s="22"/>
    </row>
    <row r="50" spans="2:15" ht="78.75" x14ac:dyDescent="0.25">
      <c r="B50" s="89" t="s">
        <v>346</v>
      </c>
      <c r="C50" s="100" t="s">
        <v>299</v>
      </c>
      <c r="D50" s="101" t="s">
        <v>300</v>
      </c>
      <c r="E50" s="89" t="s">
        <v>27</v>
      </c>
      <c r="F50" s="89" t="s">
        <v>302</v>
      </c>
      <c r="G50" s="89" t="s">
        <v>217</v>
      </c>
      <c r="H50" s="89" t="s">
        <v>78</v>
      </c>
      <c r="I50" s="92" t="s">
        <v>34</v>
      </c>
      <c r="J50" s="28" t="s">
        <v>62</v>
      </c>
      <c r="K50" s="93">
        <v>12</v>
      </c>
      <c r="L50" s="94">
        <v>5000</v>
      </c>
      <c r="M50" s="94">
        <f t="shared" si="1"/>
        <v>60000</v>
      </c>
      <c r="N50" s="94"/>
      <c r="O50" s="89"/>
    </row>
    <row r="51" spans="2:15" ht="18.75" x14ac:dyDescent="0.25">
      <c r="B51" s="95"/>
      <c r="C51" s="95"/>
      <c r="D51" s="95"/>
      <c r="E51" s="95"/>
      <c r="F51" s="95"/>
      <c r="G51" s="95"/>
      <c r="H51" s="95"/>
      <c r="I51" s="96"/>
      <c r="J51" s="95"/>
      <c r="K51" s="95"/>
      <c r="L51" s="95"/>
      <c r="M51" s="102">
        <f>SUM(M49:M50)</f>
        <v>74000</v>
      </c>
      <c r="N51" s="103">
        <v>103000</v>
      </c>
      <c r="O51" s="95"/>
    </row>
    <row r="52" spans="2:15" ht="18.75" x14ac:dyDescent="0.25">
      <c r="C52" s="61"/>
    </row>
    <row r="53" spans="2:15" ht="18.75" x14ac:dyDescent="0.25">
      <c r="B53" s="18"/>
      <c r="C53" s="61"/>
      <c r="D53" s="18"/>
      <c r="E53" s="18"/>
      <c r="F53" s="18"/>
      <c r="G53" s="18"/>
      <c r="H53" s="18"/>
      <c r="I53" s="19"/>
      <c r="J53" s="18"/>
      <c r="K53" s="18"/>
      <c r="L53" s="18"/>
      <c r="M53" s="18"/>
      <c r="N53" s="179"/>
      <c r="O53" s="179"/>
    </row>
    <row r="56" spans="2:15" x14ac:dyDescent="0.25">
      <c r="M56" s="64"/>
    </row>
    <row r="57" spans="2:15" x14ac:dyDescent="0.25">
      <c r="D57" s="64"/>
    </row>
    <row r="63" spans="2:15" x14ac:dyDescent="0.25">
      <c r="C63" s="62"/>
    </row>
    <row r="64" spans="2:15" x14ac:dyDescent="0.25">
      <c r="C64" s="62"/>
    </row>
  </sheetData>
  <mergeCells count="4">
    <mergeCell ref="B4:O4"/>
    <mergeCell ref="M6:O6"/>
    <mergeCell ref="B15:O15"/>
    <mergeCell ref="N53:O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topLeftCell="B1" workbookViewId="0">
      <selection activeCell="H11" sqref="H11:H12"/>
    </sheetView>
  </sheetViews>
  <sheetFormatPr defaultRowHeight="15" x14ac:dyDescent="0.25"/>
  <cols>
    <col min="2" max="2" width="7.42578125" style="21" customWidth="1"/>
    <col min="3" max="3" width="24.42578125" style="21" customWidth="1"/>
    <col min="4" max="4" width="28.5703125" style="21" customWidth="1"/>
    <col min="5" max="5" width="11.42578125" style="21" customWidth="1"/>
    <col min="6" max="6" width="17" style="21" customWidth="1"/>
    <col min="7" max="7" width="17.7109375" style="21" customWidth="1"/>
    <col min="8" max="8" width="17.28515625" style="21" customWidth="1"/>
    <col min="9" max="9" width="19.5703125" style="21" customWidth="1"/>
    <col min="10" max="10" width="26.28515625" style="21" customWidth="1"/>
    <col min="11" max="11" width="15" style="21" customWidth="1"/>
    <col min="12" max="12" width="16.42578125" style="3" customWidth="1"/>
    <col min="13" max="13" width="20.28515625" style="21" customWidth="1"/>
    <col min="14" max="14" width="20" style="21" customWidth="1"/>
    <col min="15" max="15" width="11" style="21" customWidth="1"/>
  </cols>
  <sheetData>
    <row r="1" spans="2:15" x14ac:dyDescent="0.25">
      <c r="C1" s="64"/>
      <c r="D1" s="64"/>
      <c r="E1" s="64"/>
      <c r="F1" s="64"/>
      <c r="G1" s="64"/>
      <c r="H1" s="64"/>
      <c r="I1" s="64"/>
      <c r="J1" s="64"/>
      <c r="K1" s="64"/>
      <c r="N1" s="64"/>
      <c r="O1" s="64"/>
    </row>
    <row r="2" spans="2:15" x14ac:dyDescent="0.25">
      <c r="B2" s="64"/>
    </row>
    <row r="3" spans="2:15" ht="15.75" thickBot="1" x14ac:dyDescent="0.3">
      <c r="C3" s="64"/>
      <c r="D3" s="64"/>
      <c r="E3" s="64"/>
      <c r="F3" s="64"/>
      <c r="G3" s="64"/>
      <c r="H3" s="64"/>
      <c r="I3" s="64"/>
      <c r="J3" s="64"/>
      <c r="K3" s="64"/>
      <c r="L3" s="15"/>
      <c r="M3" s="64"/>
      <c r="N3" s="64"/>
      <c r="O3" s="64"/>
    </row>
    <row r="4" spans="2:15" ht="126" x14ac:dyDescent="0.25">
      <c r="B4" s="29" t="s">
        <v>1</v>
      </c>
      <c r="C4" s="31" t="s">
        <v>4</v>
      </c>
      <c r="D4" s="30" t="s">
        <v>5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14</v>
      </c>
      <c r="L4" s="33" t="s">
        <v>15</v>
      </c>
      <c r="M4" s="30" t="s">
        <v>20</v>
      </c>
      <c r="N4" s="30" t="s">
        <v>432</v>
      </c>
      <c r="O4" s="30" t="s">
        <v>433</v>
      </c>
    </row>
    <row r="5" spans="2:15" ht="16.5" thickBot="1" x14ac:dyDescent="0.3">
      <c r="B5" s="34">
        <v>1</v>
      </c>
      <c r="C5" s="36">
        <v>4</v>
      </c>
      <c r="D5" s="35">
        <v>5</v>
      </c>
      <c r="E5" s="35">
        <v>7</v>
      </c>
      <c r="F5" s="35">
        <v>8</v>
      </c>
      <c r="G5" s="35">
        <v>9</v>
      </c>
      <c r="H5" s="35">
        <v>10</v>
      </c>
      <c r="I5" s="35">
        <v>11</v>
      </c>
      <c r="J5" s="35">
        <v>12</v>
      </c>
      <c r="K5" s="35">
        <v>14</v>
      </c>
      <c r="L5" s="38">
        <v>15</v>
      </c>
      <c r="M5" s="35">
        <v>20</v>
      </c>
      <c r="N5" s="35">
        <v>21</v>
      </c>
      <c r="O5" s="35">
        <v>22</v>
      </c>
    </row>
    <row r="6" spans="2:15" ht="16.5" customHeight="1" thickBot="1" x14ac:dyDescent="0.3">
      <c r="B6" s="63" t="s">
        <v>42</v>
      </c>
      <c r="C6" s="39"/>
      <c r="D6" s="39"/>
      <c r="E6" s="39"/>
      <c r="F6" s="40"/>
      <c r="G6" s="40"/>
      <c r="H6" s="39"/>
      <c r="I6" s="39"/>
      <c r="J6" s="39"/>
      <c r="K6" s="39"/>
      <c r="L6" s="41"/>
      <c r="M6" s="26"/>
      <c r="N6" s="26"/>
      <c r="O6" s="39"/>
    </row>
    <row r="7" spans="2:15" ht="79.5" thickBot="1" x14ac:dyDescent="0.3">
      <c r="B7" s="22" t="s">
        <v>43</v>
      </c>
      <c r="C7" s="53" t="s">
        <v>347</v>
      </c>
      <c r="D7" s="54" t="s">
        <v>348</v>
      </c>
      <c r="E7" s="22" t="s">
        <v>27</v>
      </c>
      <c r="F7" s="22">
        <v>50</v>
      </c>
      <c r="G7" s="22">
        <v>710000000</v>
      </c>
      <c r="H7" s="22" t="s">
        <v>71</v>
      </c>
      <c r="I7" s="22" t="s">
        <v>350</v>
      </c>
      <c r="J7" s="22" t="s">
        <v>76</v>
      </c>
      <c r="K7" s="22" t="s">
        <v>78</v>
      </c>
      <c r="L7" s="44" t="s">
        <v>34</v>
      </c>
      <c r="M7" s="26">
        <v>700000</v>
      </c>
      <c r="N7" s="26"/>
      <c r="O7" s="22"/>
    </row>
    <row r="8" spans="2:15" ht="95.25" thickBot="1" x14ac:dyDescent="0.3">
      <c r="B8" s="22" t="s">
        <v>351</v>
      </c>
      <c r="C8" s="53" t="s">
        <v>347</v>
      </c>
      <c r="D8" s="54" t="s">
        <v>348</v>
      </c>
      <c r="E8" s="22" t="s">
        <v>27</v>
      </c>
      <c r="F8" s="22">
        <v>50</v>
      </c>
      <c r="G8" s="22">
        <v>710000000</v>
      </c>
      <c r="H8" s="22" t="s">
        <v>71</v>
      </c>
      <c r="I8" s="22" t="s">
        <v>350</v>
      </c>
      <c r="J8" s="22" t="s">
        <v>149</v>
      </c>
      <c r="K8" s="22" t="s">
        <v>78</v>
      </c>
      <c r="L8" s="44" t="s">
        <v>34</v>
      </c>
      <c r="M8" s="26">
        <v>550000</v>
      </c>
      <c r="N8" s="26"/>
      <c r="O8" s="22"/>
    </row>
    <row r="9" spans="2:15" ht="15.75" customHeight="1" x14ac:dyDescent="0.25">
      <c r="B9" s="63" t="s">
        <v>48</v>
      </c>
      <c r="C9" s="39"/>
      <c r="D9" s="39"/>
      <c r="E9" s="39"/>
      <c r="F9" s="40"/>
      <c r="G9" s="40"/>
      <c r="H9" s="39"/>
      <c r="I9" s="39"/>
      <c r="J9" s="39"/>
      <c r="K9" s="39"/>
      <c r="L9" s="41"/>
      <c r="M9" s="42">
        <f>SUM(M7:M8)</f>
        <v>1250000</v>
      </c>
      <c r="N9" s="42">
        <v>1250000</v>
      </c>
      <c r="O9" s="39"/>
    </row>
    <row r="11" spans="2:15" x14ac:dyDescent="0.25">
      <c r="M11" s="64"/>
    </row>
    <row r="12" spans="2:15" x14ac:dyDescent="0.25">
      <c r="D12" s="64"/>
    </row>
    <row r="18" spans="3:3" ht="15" customHeight="1" x14ac:dyDescent="0.25">
      <c r="C18" s="62"/>
    </row>
    <row r="19" spans="3:3" x14ac:dyDescent="0.25">
      <c r="C19" s="6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workbookViewId="0">
      <selection activeCell="K8" sqref="K8:K9"/>
    </sheetView>
  </sheetViews>
  <sheetFormatPr defaultRowHeight="15" x14ac:dyDescent="0.25"/>
  <cols>
    <col min="2" max="2" width="7.42578125" style="21" customWidth="1"/>
    <col min="3" max="3" width="23" style="21" customWidth="1"/>
    <col min="4" max="4" width="22.5703125" style="21" customWidth="1"/>
    <col min="5" max="5" width="23.42578125" style="21" customWidth="1"/>
    <col min="6" max="6" width="11.42578125" style="21" customWidth="1"/>
    <col min="7" max="7" width="17" style="21" customWidth="1"/>
    <col min="8" max="8" width="19.5703125" style="21" customWidth="1"/>
    <col min="9" max="9" width="26.28515625" style="21" customWidth="1"/>
    <col min="10" max="10" width="16.42578125" style="3" customWidth="1"/>
    <col min="11" max="11" width="20.28515625" style="21" customWidth="1"/>
    <col min="12" max="12" width="20" style="21" customWidth="1"/>
    <col min="13" max="13" width="11" style="21" customWidth="1"/>
    <col min="15" max="15" width="10" bestFit="1" customWidth="1"/>
  </cols>
  <sheetData>
    <row r="1" spans="2:15" x14ac:dyDescent="0.25">
      <c r="C1" s="64"/>
      <c r="D1" s="64"/>
      <c r="E1" s="64"/>
      <c r="F1" s="64"/>
      <c r="G1" s="64"/>
      <c r="H1" s="64"/>
      <c r="I1" s="64"/>
      <c r="L1" s="64"/>
      <c r="M1" s="64"/>
    </row>
    <row r="2" spans="2:15" x14ac:dyDescent="0.25">
      <c r="B2" s="64"/>
    </row>
    <row r="3" spans="2:15" ht="15.75" thickBot="1" x14ac:dyDescent="0.3">
      <c r="C3" s="64"/>
      <c r="D3" s="64"/>
      <c r="E3" s="64"/>
      <c r="F3" s="64"/>
      <c r="G3" s="64"/>
      <c r="H3" s="64"/>
      <c r="I3" s="64"/>
      <c r="J3" s="15"/>
      <c r="K3" s="64"/>
      <c r="L3" s="64"/>
      <c r="M3" s="64"/>
    </row>
    <row r="4" spans="2:15" ht="94.5" x14ac:dyDescent="0.25">
      <c r="B4" s="29" t="s">
        <v>1</v>
      </c>
      <c r="C4" s="31" t="s">
        <v>4</v>
      </c>
      <c r="D4" s="30" t="s">
        <v>5</v>
      </c>
      <c r="E4" s="32" t="s">
        <v>6</v>
      </c>
      <c r="F4" s="30" t="s">
        <v>7</v>
      </c>
      <c r="G4" s="30" t="s">
        <v>8</v>
      </c>
      <c r="H4" s="30" t="s">
        <v>11</v>
      </c>
      <c r="I4" s="30" t="s">
        <v>12</v>
      </c>
      <c r="J4" s="33" t="s">
        <v>15</v>
      </c>
      <c r="K4" s="30" t="s">
        <v>20</v>
      </c>
      <c r="L4" s="30" t="s">
        <v>432</v>
      </c>
      <c r="M4" s="30" t="s">
        <v>433</v>
      </c>
    </row>
    <row r="5" spans="2:15" ht="16.5" thickBot="1" x14ac:dyDescent="0.3">
      <c r="B5" s="34">
        <v>1</v>
      </c>
      <c r="C5" s="36">
        <v>4</v>
      </c>
      <c r="D5" s="35">
        <v>5</v>
      </c>
      <c r="E5" s="37">
        <v>6</v>
      </c>
      <c r="F5" s="35">
        <v>7</v>
      </c>
      <c r="G5" s="35">
        <v>8</v>
      </c>
      <c r="H5" s="35">
        <v>11</v>
      </c>
      <c r="I5" s="35">
        <v>12</v>
      </c>
      <c r="J5" s="38">
        <v>15</v>
      </c>
      <c r="K5" s="35">
        <v>20</v>
      </c>
      <c r="L5" s="35">
        <v>21</v>
      </c>
      <c r="M5" s="35">
        <v>22</v>
      </c>
    </row>
    <row r="6" spans="2:15" ht="16.5" thickBot="1" x14ac:dyDescent="0.3">
      <c r="B6" s="193" t="s">
        <v>44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7" spans="2:15" ht="32.25" thickBot="1" x14ac:dyDescent="0.3">
      <c r="B7" s="22" t="s">
        <v>45</v>
      </c>
      <c r="C7" s="53" t="s">
        <v>352</v>
      </c>
      <c r="D7" s="54" t="s">
        <v>352</v>
      </c>
      <c r="E7" s="22"/>
      <c r="F7" s="22" t="s">
        <v>27</v>
      </c>
      <c r="G7" s="22">
        <v>100</v>
      </c>
      <c r="H7" s="22" t="s">
        <v>426</v>
      </c>
      <c r="I7" s="22" t="s">
        <v>399</v>
      </c>
      <c r="J7" s="46" t="s">
        <v>34</v>
      </c>
      <c r="K7" s="26">
        <f>800000/1.12</f>
        <v>714285.7142857142</v>
      </c>
      <c r="L7" s="26"/>
      <c r="M7" s="22"/>
    </row>
    <row r="8" spans="2:15" ht="32.25" thickBot="1" x14ac:dyDescent="0.3">
      <c r="B8" s="22" t="s">
        <v>45</v>
      </c>
      <c r="C8" s="56" t="s">
        <v>362</v>
      </c>
      <c r="D8" s="54" t="s">
        <v>363</v>
      </c>
      <c r="E8" s="22"/>
      <c r="F8" s="22" t="s">
        <v>27</v>
      </c>
      <c r="G8" s="22">
        <v>100</v>
      </c>
      <c r="H8" s="22" t="s">
        <v>426</v>
      </c>
      <c r="I8" s="22" t="s">
        <v>399</v>
      </c>
      <c r="J8" s="46" t="s">
        <v>34</v>
      </c>
      <c r="K8" s="58">
        <f>100000*12</f>
        <v>1200000</v>
      </c>
      <c r="L8" s="58"/>
      <c r="M8" s="22"/>
    </row>
    <row r="9" spans="2:15" ht="79.5" thickBot="1" x14ac:dyDescent="0.3">
      <c r="B9" s="22" t="s">
        <v>45</v>
      </c>
      <c r="C9" s="56" t="s">
        <v>366</v>
      </c>
      <c r="D9" s="57" t="s">
        <v>366</v>
      </c>
      <c r="E9" s="22" t="s">
        <v>368</v>
      </c>
      <c r="F9" s="22" t="s">
        <v>74</v>
      </c>
      <c r="G9" s="22">
        <v>100</v>
      </c>
      <c r="H9" s="22" t="s">
        <v>426</v>
      </c>
      <c r="I9" s="22" t="s">
        <v>399</v>
      </c>
      <c r="J9" s="46" t="s">
        <v>34</v>
      </c>
      <c r="K9" s="26">
        <v>2331000</v>
      </c>
      <c r="L9" s="26"/>
      <c r="M9" s="22"/>
    </row>
    <row r="10" spans="2:15" ht="32.25" thickBot="1" x14ac:dyDescent="0.3">
      <c r="B10" s="22" t="s">
        <v>45</v>
      </c>
      <c r="C10" s="53" t="s">
        <v>427</v>
      </c>
      <c r="D10" s="54" t="s">
        <v>427</v>
      </c>
      <c r="E10" s="22"/>
      <c r="F10" s="22" t="s">
        <v>27</v>
      </c>
      <c r="G10" s="22">
        <v>100</v>
      </c>
      <c r="H10" s="22" t="s">
        <v>428</v>
      </c>
      <c r="I10" s="22" t="s">
        <v>403</v>
      </c>
      <c r="J10" s="46" t="s">
        <v>34</v>
      </c>
      <c r="K10" s="26">
        <v>1200000</v>
      </c>
      <c r="L10" s="26"/>
      <c r="M10" s="22"/>
    </row>
    <row r="11" spans="2:15" ht="32.25" thickBot="1" x14ac:dyDescent="0.3">
      <c r="B11" s="22" t="s">
        <v>45</v>
      </c>
      <c r="C11" s="56" t="s">
        <v>371</v>
      </c>
      <c r="D11" s="54" t="s">
        <v>372</v>
      </c>
      <c r="E11" s="22"/>
      <c r="F11" s="22" t="s">
        <v>27</v>
      </c>
      <c r="G11" s="22">
        <v>100</v>
      </c>
      <c r="H11" s="22" t="s">
        <v>428</v>
      </c>
      <c r="I11" s="22" t="s">
        <v>403</v>
      </c>
      <c r="J11" s="46" t="s">
        <v>34</v>
      </c>
      <c r="K11" s="58"/>
      <c r="L11" s="26"/>
      <c r="M11" s="22"/>
    </row>
    <row r="12" spans="2:15" ht="18.75" x14ac:dyDescent="0.25">
      <c r="J12" s="96"/>
      <c r="K12" s="102">
        <f>K11+K10+K9+K8+K7</f>
        <v>5445285.7142857146</v>
      </c>
      <c r="L12" s="103">
        <v>5889000</v>
      </c>
      <c r="M12" s="103">
        <v>4910720</v>
      </c>
      <c r="O12" s="109"/>
    </row>
    <row r="13" spans="2:15" ht="18.75" customHeight="1" x14ac:dyDescent="0.25">
      <c r="C13" s="61"/>
      <c r="O13" s="109"/>
    </row>
    <row r="14" spans="2:15" ht="18.75" customHeight="1" x14ac:dyDescent="0.25">
      <c r="B14" s="18"/>
      <c r="C14" s="61"/>
      <c r="D14" s="18"/>
      <c r="E14" s="18"/>
      <c r="F14" s="18"/>
      <c r="G14" s="18"/>
      <c r="H14" s="18"/>
      <c r="I14" s="18"/>
      <c r="J14" s="19"/>
      <c r="K14" s="18"/>
      <c r="L14" s="179" t="s">
        <v>65</v>
      </c>
      <c r="M14" s="179"/>
    </row>
    <row r="17" spans="3:11" x14ac:dyDescent="0.25">
      <c r="K17" s="64"/>
    </row>
    <row r="18" spans="3:11" x14ac:dyDescent="0.25">
      <c r="D18" s="64"/>
    </row>
    <row r="24" spans="3:11" ht="15" customHeight="1" x14ac:dyDescent="0.25">
      <c r="C24" s="62"/>
    </row>
    <row r="25" spans="3:11" x14ac:dyDescent="0.25">
      <c r="C25" s="62"/>
    </row>
  </sheetData>
  <mergeCells count="2">
    <mergeCell ref="B6:M6"/>
    <mergeCell ref="L14:M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Приложение 1</vt:lpstr>
      <vt:lpstr>Лист1</vt:lpstr>
      <vt:lpstr>бензин</vt:lpstr>
      <vt:lpstr>МВСП</vt:lpstr>
      <vt:lpstr>Инструменты</vt:lpstr>
      <vt:lpstr>спецодежда</vt:lpstr>
      <vt:lpstr>Канцтовары</vt:lpstr>
      <vt:lpstr>работы</vt:lpstr>
      <vt:lpstr>консалт</vt:lpstr>
      <vt:lpstr>аренда</vt:lpstr>
      <vt:lpstr>связь</vt:lpstr>
      <vt:lpstr>страховка</vt:lpstr>
      <vt:lpstr>Лист4</vt:lpstr>
      <vt:lpstr>обучение</vt:lpstr>
      <vt:lpstr>'Приложение 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2014-12-30T03:25:53Z</dcterms:modified>
</cp:coreProperties>
</file>